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790" windowHeight="11820" activeTab="1"/>
  </bookViews>
  <sheets>
    <sheet name="PLANILHA" sheetId="1" r:id="rId1"/>
    <sheet name="CRONOGRAMA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53" i="1" l="1"/>
  <c r="F27" i="1" l="1"/>
  <c r="F26" i="1"/>
  <c r="F25" i="1"/>
  <c r="F24" i="1"/>
  <c r="F23" i="1"/>
  <c r="F22" i="1"/>
  <c r="F21" i="1"/>
  <c r="P11" i="2" l="1"/>
  <c r="P10" i="2"/>
  <c r="P9" i="2"/>
  <c r="P8" i="2"/>
  <c r="P7" i="2"/>
  <c r="F44" i="1"/>
  <c r="B11" i="2"/>
  <c r="B10" i="2"/>
  <c r="B9" i="2"/>
  <c r="B8" i="2"/>
  <c r="B7" i="2"/>
  <c r="B3" i="2"/>
  <c r="B2" i="2"/>
  <c r="H75" i="1" l="1"/>
  <c r="H74" i="1"/>
  <c r="H73" i="1" l="1"/>
  <c r="H72" i="1"/>
  <c r="F28" i="1"/>
  <c r="B28" i="1"/>
  <c r="H26" i="1" l="1"/>
  <c r="H39" i="1"/>
  <c r="H11" i="1" l="1"/>
  <c r="H12" i="1"/>
  <c r="D61" i="1"/>
  <c r="H38" i="1" l="1"/>
  <c r="H25" i="1"/>
  <c r="H48" i="1"/>
  <c r="H49" i="1"/>
  <c r="H50" i="1"/>
  <c r="H51" i="1"/>
  <c r="H52" i="1"/>
  <c r="H54" i="1"/>
  <c r="H55" i="1"/>
  <c r="H47" i="1"/>
  <c r="H56" i="1"/>
  <c r="H46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6" i="1"/>
  <c r="H37" i="1"/>
  <c r="H40" i="1"/>
  <c r="H41" i="1"/>
  <c r="H42" i="1"/>
  <c r="H43" i="1"/>
  <c r="D18" i="1"/>
  <c r="H18" i="1" s="1"/>
  <c r="D17" i="1"/>
  <c r="H17" i="1" s="1"/>
  <c r="D16" i="1"/>
  <c r="H16" i="1" s="1"/>
  <c r="D15" i="1"/>
  <c r="H15" i="1" s="1"/>
  <c r="H57" i="1" l="1"/>
  <c r="C10" i="2" s="1"/>
  <c r="D69" i="1"/>
  <c r="H69" i="1" s="1"/>
  <c r="D68" i="1"/>
  <c r="H68" i="1" s="1"/>
  <c r="H67" i="1"/>
  <c r="H66" i="1"/>
  <c r="D64" i="1"/>
  <c r="D70" i="1" s="1"/>
  <c r="H70" i="1" s="1"/>
  <c r="D63" i="1"/>
  <c r="D62" i="1"/>
  <c r="D60" i="1"/>
  <c r="H10" i="1"/>
  <c r="H13" i="1" s="1"/>
  <c r="K10" i="2" l="1"/>
  <c r="G10" i="2"/>
  <c r="O10" i="2"/>
  <c r="I10" i="2"/>
  <c r="E10" i="2"/>
  <c r="M10" i="2"/>
  <c r="C8" i="2"/>
  <c r="H59" i="1"/>
  <c r="E8" i="2" l="1"/>
  <c r="G8" i="2"/>
  <c r="H19" i="1"/>
  <c r="H44" i="1" s="1"/>
  <c r="C9" i="2" l="1"/>
  <c r="H71" i="1"/>
  <c r="H65" i="1"/>
  <c r="H64" i="1"/>
  <c r="H61" i="1"/>
  <c r="H62" i="1"/>
  <c r="H63" i="1"/>
  <c r="E9" i="2" l="1"/>
  <c r="I9" i="2"/>
  <c r="G9" i="2"/>
  <c r="K9" i="2"/>
  <c r="H60" i="1"/>
  <c r="H77" i="1" s="1"/>
  <c r="C11" i="2" s="1"/>
  <c r="I11" i="2" l="1"/>
  <c r="I16" i="2" s="1"/>
  <c r="G11" i="2"/>
  <c r="G16" i="2" s="1"/>
  <c r="M11" i="2"/>
  <c r="M16" i="2" s="1"/>
  <c r="O11" i="2"/>
  <c r="O16" i="2" s="1"/>
  <c r="E11" i="2"/>
  <c r="K11" i="2"/>
  <c r="K16" i="2" s="1"/>
  <c r="H7" i="1"/>
  <c r="H8" i="1" s="1"/>
  <c r="C7" i="2" l="1"/>
  <c r="E7" i="2" s="1"/>
  <c r="E16" i="2" s="1"/>
  <c r="P16" i="2" s="1"/>
  <c r="H79" i="1"/>
</calcChain>
</file>

<file path=xl/sharedStrings.xml><?xml version="1.0" encoding="utf-8"?>
<sst xmlns="http://schemas.openxmlformats.org/spreadsheetml/2006/main" count="292" uniqueCount="213">
  <si>
    <t>PLANILHA ORÇAMENTÁRIA</t>
  </si>
  <si>
    <t>LOCAL</t>
  </si>
  <si>
    <t>ITEM</t>
  </si>
  <si>
    <t>DESCRIÇÃO</t>
  </si>
  <si>
    <t>QTD</t>
  </si>
  <si>
    <t>UN</t>
  </si>
  <si>
    <t>VALOR UNITARIO (R$)</t>
  </si>
  <si>
    <t xml:space="preserve">BDI </t>
  </si>
  <si>
    <t>VALOR DO ITEM (R$)</t>
  </si>
  <si>
    <t>1.0</t>
  </si>
  <si>
    <t>SERVIÇOS INICIAIS</t>
  </si>
  <si>
    <t>1.1</t>
  </si>
  <si>
    <t>PLACA DE OBRA EM CHAPA DE ACO GALVANIZADO</t>
  </si>
  <si>
    <t>m²</t>
  </si>
  <si>
    <t>SUB-TOTAL</t>
  </si>
  <si>
    <t>2.0</t>
  </si>
  <si>
    <t>2.1</t>
  </si>
  <si>
    <t>CODIGO</t>
  </si>
  <si>
    <t>m³</t>
  </si>
  <si>
    <t>3.0</t>
  </si>
  <si>
    <t>3.2</t>
  </si>
  <si>
    <t>m</t>
  </si>
  <si>
    <t>3.3</t>
  </si>
  <si>
    <t>SOMA TOTAL</t>
  </si>
  <si>
    <t>3.4</t>
  </si>
  <si>
    <t>3.5</t>
  </si>
  <si>
    <t>CRONOGRAMA FÍSICO</t>
  </si>
  <si>
    <t>ÍTEM</t>
  </si>
  <si>
    <t>SERVIÇO</t>
  </si>
  <si>
    <t>MÊS 01</t>
  </si>
  <si>
    <t>MÊS 02</t>
  </si>
  <si>
    <t>MÊS 03</t>
  </si>
  <si>
    <t>TOTAL</t>
  </si>
  <si>
    <t>1</t>
  </si>
  <si>
    <t>2</t>
  </si>
  <si>
    <t>3</t>
  </si>
  <si>
    <t>4</t>
  </si>
  <si>
    <t>5</t>
  </si>
  <si>
    <t>OBRA</t>
  </si>
  <si>
    <t>3.6</t>
  </si>
  <si>
    <t>3.7</t>
  </si>
  <si>
    <t>Obra: SISTEMA DE ADUÇÃO TRATAMENTO E DISTRIBUIÇÃO DE ÁGUA PARA  A COMUNIDADE RURAL DE RIO CEDRO ALTO</t>
  </si>
  <si>
    <t>RIO CEDRO ALTO</t>
  </si>
  <si>
    <t>unid</t>
  </si>
  <si>
    <t>3.8</t>
  </si>
  <si>
    <t>3.9</t>
  </si>
  <si>
    <t>3.10</t>
  </si>
  <si>
    <t>3.11</t>
  </si>
  <si>
    <t>3.12</t>
  </si>
  <si>
    <t>REDE DE ABASTECIMENTO</t>
  </si>
  <si>
    <t>ESCAVAÇÃO MECÃNICA DE ÁREA EM SOLO NÃO ROCHOSO</t>
  </si>
  <si>
    <t>REATERRO COM SEIXO ROLADO DIÂMETRO MÁXIMO 4" - ESP 20 CM</t>
  </si>
  <si>
    <t>10201 (CASAN)</t>
  </si>
  <si>
    <t>40109 (CASAN)</t>
  </si>
  <si>
    <t>100405 (CASAN)</t>
  </si>
  <si>
    <t>100403 (CASAN)</t>
  </si>
  <si>
    <t>COTAÇÃO</t>
  </si>
  <si>
    <t xml:space="preserve"> REGULARIZAÇÃO DA BASE COM BRITA 2" E COMPACTAÇÃO MECANICA - E - 5 CM</t>
  </si>
  <si>
    <t>3.1</t>
  </si>
  <si>
    <t>ATERRO/REATERRO DE VALAS, POÇOS E CAVAS, COM RETROESCAVADEIRA</t>
  </si>
  <si>
    <t xml:space="preserve">ATERRO/REATERRO DE VALAS, POÇOS E CAVAS, COM FORN. DE AREIA/PO DE PEDRA </t>
  </si>
  <si>
    <t>TRANSPORTE DE AREIA / PÓ DE PEDRA PARA ATERRO</t>
  </si>
  <si>
    <t>m³/Km</t>
  </si>
  <si>
    <t>ASSENTAMENTO DE TUBOS E CONEXÕES EM PVC JE - PBA - DN 75  mm</t>
  </si>
  <si>
    <t>REMOÇÃO DE PAVIMENTAÇÃO ASFÁLTICA</t>
  </si>
  <si>
    <t>CORTE DE PAVIMENTAÇÃO ASFÁLTICA COM ESPESSURA ATÉ 0,10 M</t>
  </si>
  <si>
    <t>EXECUÇÃO DE CAUQ EM VALA COM LARGURA &lt;=2,00 M</t>
  </si>
  <si>
    <t>t</t>
  </si>
  <si>
    <t>EXECUÇÃO DE BASE EM BRITA GRADUADA, COM CONTROLE DO GC = 100%, SEM TRANSPORTE</t>
  </si>
  <si>
    <t>EXECUÇÃO DE SUB BASE/REFORÇO DE SUB LEITO EM BRITA CORRIDA, COM CONTROLE DO GC = 100%, SEM TRANSPORTE</t>
  </si>
  <si>
    <t>TRANSPORTE DE BASE BRITA GRADUADA</t>
  </si>
  <si>
    <t>TRANSPORTE DE BICA CORRIDA</t>
  </si>
  <si>
    <t>EXECUÇÃO DE IMPRIMAÇÃO LIGANTE</t>
  </si>
  <si>
    <t>ADUTORA</t>
  </si>
  <si>
    <t>CURVA PVC RIGIDO - PBA - 90º, DIÂMETRO NOMINAL DE 75 MM E DIÃMETRO EXTERNO DE 85 MM</t>
  </si>
  <si>
    <t>REGISTRO ESFERA SOLDÁVEL - PVC - DIÂMETRO NOMINAL DE 75 MM E DIÃMETRO EXTERNO DE 85 MM</t>
  </si>
  <si>
    <t>2.6</t>
  </si>
  <si>
    <t>2.7</t>
  </si>
  <si>
    <t>KIT PARA ANÁLISE DE CLORO</t>
  </si>
  <si>
    <t>BOMBONA DE PVC, CAPACIDADE DE 60 LITROS</t>
  </si>
  <si>
    <t>PC</t>
  </si>
  <si>
    <t>MISTURADOR DE FIBRA</t>
  </si>
  <si>
    <t>TUBO DE PVC RÍGIDO SOLDÁVEL, JS, DIÂMETRO EXTERNO DE 32 MM</t>
  </si>
  <si>
    <t>ADAPTADOR FLANGE 50 MM X 1 1/2´´</t>
  </si>
  <si>
    <t>LUVA ROSCÁVEL 2´´</t>
  </si>
  <si>
    <t>ADAPTADOR CURTO 60 MM X 2´´</t>
  </si>
  <si>
    <t xml:space="preserve">BOMBA DOSADORA - VAZÃO 5 L/H E PRESSÃO DE 7 BAR COM PAINEL DE PROTEÇÃO - FORNECIMENTO E INSTALAÇÃO </t>
  </si>
  <si>
    <t>BOMBONA BRANCA DE 25 KG PARA RESERVATÓRIO DE HIPOCLORITO DE SÓDIO</t>
  </si>
  <si>
    <t>JOELHO SOLDÁVEL 60 MM X 90</t>
  </si>
  <si>
    <t>JOELHO SOLDÁVEL 25 MM X 90</t>
  </si>
  <si>
    <t>LUVA SOLDÁVEL 25 MM</t>
  </si>
  <si>
    <t>BUCHA DE REDUÇÃO LONGA 60 MM X 25 MM</t>
  </si>
  <si>
    <t>LUVA LR 25 MM X 3/4´´</t>
  </si>
  <si>
    <t>TORNEIRA PARA JARDIM</t>
  </si>
  <si>
    <t>ROLO DE FITA VEDA ROSCA 18 MM X 10 M</t>
  </si>
  <si>
    <t>3.13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</si>
  <si>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</si>
  <si>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</si>
  <si>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</si>
  <si>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</si>
  <si>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</si>
  <si>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</si>
  <si>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</si>
  <si>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</si>
  <si>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</si>
  <si>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</si>
  <si>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</si>
  <si>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</si>
  <si>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</si>
  <si>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SISTEMA DE TRATAMENTO (ABRIGO E CERCA)</t>
  </si>
  <si>
    <t>3.29</t>
  </si>
  <si>
    <t>3.30</t>
  </si>
  <si>
    <t>3.31</t>
  </si>
  <si>
    <t xml:space="preserve">ALVENARIA ESTRUTURAL DE BLOCOS DE CONCRETO </t>
  </si>
  <si>
    <t>M²</t>
  </si>
  <si>
    <t>APLICAÇÃO MANUAL DE PINTURAS</t>
  </si>
  <si>
    <t>M³</t>
  </si>
  <si>
    <t>INTERRUPTOR</t>
  </si>
  <si>
    <t>CABO DE COBRE FLEXIVEL 2,5 MM</t>
  </si>
  <si>
    <t>M</t>
  </si>
  <si>
    <t>TÊ 90º SOLDAVEL - PVC 60 MM</t>
  </si>
  <si>
    <t>TÊ 90º SOLDAVEL - PVC 50 MM</t>
  </si>
  <si>
    <t>TÊ 90º SOLDAVEL - PVC 75 MM</t>
  </si>
  <si>
    <t>CERCA COM MOURÕES DE CONCRETO, COM TELA GALVANIZADA, COM 3,0 M DE ALTURA ESPASSAMENTO DE 2,5 M, CRAVADOS 0,50 M</t>
  </si>
  <si>
    <t>98522 (SINAPI)</t>
  </si>
  <si>
    <t>PORTÃO EM ESTRUTURA TUBULAR E TELA GALVANIZADA (1,0 M X 1,80 M)</t>
  </si>
  <si>
    <t>160101 (CASAN)</t>
  </si>
  <si>
    <t>88429 (SINAPI)</t>
  </si>
  <si>
    <t>91952 (SINAPI)</t>
  </si>
  <si>
    <t>91927 (SINAPI)</t>
  </si>
  <si>
    <t>PORTA EXTERNA MAÇICA COM MARCO (0,80 X 2,10 M)</t>
  </si>
  <si>
    <t>ESCAVAÇÃO MECANIZADA DE VALAS, POÇOS E CAVAS EM SOLO NÃO ROCHOSO, COM PROFUNDIDADE ATÉ 1,50 M</t>
  </si>
  <si>
    <t>40301 (CASAN)</t>
  </si>
  <si>
    <t>40606 (CASAN)</t>
  </si>
  <si>
    <t>40607 (CASAN)</t>
  </si>
  <si>
    <t>40608 (CASAN)</t>
  </si>
  <si>
    <t>100101 (CASAN)</t>
  </si>
  <si>
    <t>100112 (CASAN)</t>
  </si>
  <si>
    <t>100313 (CASAN)</t>
  </si>
  <si>
    <t>100316 (CASAN)</t>
  </si>
  <si>
    <t>100309 (CASAN)</t>
  </si>
  <si>
    <t>100310 (CASAN)</t>
  </si>
  <si>
    <t>100303 (CASAN)</t>
  </si>
  <si>
    <t>100312 (CASAN)</t>
  </si>
  <si>
    <t>FILTRO EM FIBRA DE VIDRO, COM REFORÇO EM AÇO CARBONO GALVANIZADO 1020  E TELA EM AÇO INOX 304, MEDIDAS: ALTURA 2,00 METROS E DIÂMETRO 0,60 M, COM SISTEMA DE RETRO-LAVAGEM COM INDICADOR DE PRESSÃO (MANÔMETRO) COM CARVÃO CARBOTRAT – AP</t>
  </si>
  <si>
    <t>REGISTRO DE ESFERA SOLDÁVEL PVC - DIÂMETRO NOMINAL DE 75 mm E DIÂMETRO EXTERNO DE 85 mm</t>
  </si>
  <si>
    <t xml:space="preserve">EXTREMIDADE COM FLANGE E PONTA - EFP EM PVC, DN 75 mm E DIÂMETRO EXTERNO DE 85 mm </t>
  </si>
  <si>
    <t>TUBO DE PVC RÍGIDO SOLDÁVEL, JE, CLASSE 15, DIÂMETRO NOMINAL DE 75 mm, incluindo anel de borracha</t>
  </si>
  <si>
    <t>ADAPTADOR FLANGE 75 MM X 2´´</t>
  </si>
  <si>
    <t>89447 (SINAPI)</t>
  </si>
  <si>
    <t>94666 (SINAPI)</t>
  </si>
  <si>
    <t>94662 (SINAPI)</t>
  </si>
  <si>
    <t>89593 (SINAPI)</t>
  </si>
  <si>
    <t>89610 (SINAPI)</t>
  </si>
  <si>
    <t>94680 (SINAPI)</t>
  </si>
  <si>
    <t>94674 (SINAPI)</t>
  </si>
  <si>
    <t>140436 (CASAN)</t>
  </si>
  <si>
    <t>3146 (SINAPI)</t>
  </si>
  <si>
    <t>89378 (SINAPI)</t>
  </si>
  <si>
    <t>90407 (CASAN)</t>
  </si>
  <si>
    <t>11678 (SINAPI)</t>
  </si>
  <si>
    <t>REGISTRO ESFERA SOLDÁVEL PARA MANOBRA - PVC - DIÂMETRO NOMINAL DE 75 MM E DIÃMETRO EXTERNO DE 85 MM, COM CAIXA DE PROTEÇÃO, FORN E INSTALAÇÃO</t>
  </si>
  <si>
    <t>REGISTRO ESFERA SOLDÁVEL PARA DESCARGA - PVC - DIÂMETRO NOMINAL DE 75 MM E DIÃMETRO EXTERNO DE 85 MM, COM CAIXA DE PROTEÇÃO, FORN E INSTALAÇÃO</t>
  </si>
  <si>
    <t>99633 (SINAPI)</t>
  </si>
  <si>
    <t>VALVULA DE RETENÇÃO VERTICAL COM ADAPTADOR</t>
  </si>
  <si>
    <t>92656 (SINAPI)</t>
  </si>
  <si>
    <t>TUBO DE AÇO GALVANIZADO COM COSTURA DIÂMETRO 80 MM (REVESTIMENTO PASSAGEM TUBO RIO CEDRO)</t>
  </si>
  <si>
    <t>MÊS 04</t>
  </si>
  <si>
    <t xml:space="preserve">SISTEMA DE TRATAMENTO 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</si>
  <si>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</si>
  <si>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</si>
  <si>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</si>
  <si>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</si>
  <si>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</si>
  <si>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</si>
  <si>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</si>
  <si>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</si>
  <si>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</si>
  <si>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</si>
  <si>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</si>
  <si>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</si>
  <si>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</si>
  <si>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</si>
  <si>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</si>
  <si>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</si>
  <si>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</si>
  <si>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</si>
  <si>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</si>
  <si>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</si>
  <si>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</si>
  <si>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</si>
  <si>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</si>
  <si>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</si>
  <si>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</si>
  <si>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</si>
  <si>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</si>
  <si>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</si>
  <si>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</si>
  <si>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MÊS 05</t>
  </si>
  <si>
    <t>MÊS 06</t>
  </si>
  <si>
    <t>VALOR R$</t>
  </si>
  <si>
    <t>VALOR PARCIAL R$</t>
  </si>
  <si>
    <t>un</t>
  </si>
  <si>
    <t>97096(SINAPI)</t>
  </si>
  <si>
    <t>CONCRETAGEM DE RADIER, PISO DE CONCRETO OU LAJE SOBRE SOLO, FCK 30 MPA - LANÇAMENTO, ADENSAMENTO E ACABAMENTO. COM ESTEIRA DE FERRO 5mm - 10x10 (FORMA E DESFORMA)</t>
  </si>
  <si>
    <t>93128 (SINAPI)</t>
  </si>
  <si>
    <t>4.11</t>
  </si>
  <si>
    <t>PONTO DE ILUMINAÇÃO RESIDENCIAL INCLUINDO INTERRUPTOR SIMPLES, CAIXA E UN CR 174,68
LÉTRICA, ELETRODUTO, CABO, RASGO, QUEBRA E CHUMBAMENTO(EXCLUINDO LUMI
NÁRIA E LÂMPADA).</t>
  </si>
  <si>
    <t>97610(SINAPI)</t>
  </si>
  <si>
    <t>LÂMPADA COMPACTA DE LED 10 W, BASE E27 - FORNECIMENTO E INSTALAÇÃO.</t>
  </si>
  <si>
    <t>102217 (SINAPI)</t>
  </si>
  <si>
    <t>PINTURA TINTA DE ACABAMENTO (PIGMENTADA) A ÓLEO, 2 DEMÃOS.</t>
  </si>
  <si>
    <t>TANQUE DE POLIETILENO COM CAPACIDADE DE 20.000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</si>
</sst>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R$&quot;\ #,##0.00;\-&quot;R$&quot;\ #,##0.00"/>
    <numFmt numFmtId="165" formatCode="_(&quot;R$&quot;* #,##0.00_);_(&quot;R$&quot;* \(#,##0.00\);_(&quot;R$&quot;* \-??_);_(@_)"/>
    <numFmt numFmtId="166" formatCode="_(* #,##0.00_);_(* \(#,##0.00\);_(* \-??_);_(@_)"/>
    <numFmt numFmtId="167" formatCode="_(* #,##0.00_);_(* \(#,##0.00\);_(* &quot;-&quot;??_);_(@_)"/>
    <numFmt numFmtId="168" formatCode="_(&quot;R$&quot;* #,##0.00_);_(&quot;R$&quot;* \(#,##0.00\);_(&quot;R$&quot;* &quot;-&quot;??_);_(@_)"/>
    <numFmt numFmtId="169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</cellStyleXfs>
  <cellXfs count="164">
    <xf numFmtId="0" fontId="0" fillId="0" borderId="0" xfId="0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vertical="center" wrapText="1"/>
    </xf>
    <xf numFmtId="43" fontId="2" fillId="0" borderId="6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9" fillId="0" borderId="1" xfId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3" fontId="1" fillId="0" borderId="3" xfId="1" applyFont="1" applyBorder="1" applyAlignment="1">
      <alignment horizontal="center" vertical="center"/>
    </xf>
    <xf numFmtId="39" fontId="13" fillId="0" borderId="2" xfId="2" applyNumberFormat="1" applyFont="1" applyFill="1" applyBorder="1" applyAlignment="1" applyProtection="1">
      <alignment horizontal="center" vertical="center"/>
      <protection locked="0"/>
    </xf>
    <xf numFmtId="39" fontId="9" fillId="0" borderId="1" xfId="2" applyNumberFormat="1" applyFont="1" applyFill="1" applyBorder="1" applyAlignment="1" applyProtection="1">
      <alignment horizontal="left" vertical="center"/>
      <protection locked="0"/>
    </xf>
    <xf numFmtId="39" fontId="9" fillId="0" borderId="1" xfId="2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>
      <alignment horizontal="center"/>
    </xf>
    <xf numFmtId="43" fontId="1" fillId="0" borderId="1" xfId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3" fontId="9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9" xfId="1" applyNumberFormat="1" applyFont="1" applyBorder="1"/>
    <xf numFmtId="10" fontId="0" fillId="0" borderId="9" xfId="0" applyNumberFormat="1" applyBorder="1"/>
    <xf numFmtId="10" fontId="0" fillId="0" borderId="10" xfId="0" applyNumberFormat="1" applyBorder="1"/>
    <xf numFmtId="49" fontId="0" fillId="0" borderId="2" xfId="0" applyNumberFormat="1" applyBorder="1" applyAlignment="1">
      <alignment horizontal="center"/>
    </xf>
    <xf numFmtId="164" fontId="0" fillId="0" borderId="1" xfId="1" applyNumberFormat="1" applyFont="1" applyBorder="1"/>
    <xf numFmtId="10" fontId="0" fillId="0" borderId="1" xfId="0" applyNumberFormat="1" applyBorder="1"/>
    <xf numFmtId="10" fontId="0" fillId="0" borderId="3" xfId="0" applyNumberFormat="1" applyBorder="1"/>
    <xf numFmtId="49" fontId="0" fillId="0" borderId="4" xfId="0" applyNumberFormat="1" applyBorder="1" applyAlignment="1">
      <alignment horizontal="center"/>
    </xf>
    <xf numFmtId="10" fontId="0" fillId="0" borderId="5" xfId="0" applyNumberFormat="1" applyBorder="1"/>
    <xf numFmtId="164" fontId="0" fillId="0" borderId="5" xfId="1" applyNumberFormat="1" applyFont="1" applyBorder="1"/>
    <xf numFmtId="10" fontId="0" fillId="0" borderId="6" xfId="0" applyNumberFormat="1" applyBorder="1"/>
    <xf numFmtId="39" fontId="0" fillId="0" borderId="9" xfId="0" applyNumberFormat="1" applyBorder="1"/>
    <xf numFmtId="39" fontId="0" fillId="0" borderId="1" xfId="0" applyNumberFormat="1" applyBorder="1"/>
    <xf numFmtId="10" fontId="0" fillId="0" borderId="9" xfId="1" applyNumberFormat="1" applyFont="1" applyBorder="1"/>
    <xf numFmtId="10" fontId="0" fillId="0" borderId="1" xfId="1" applyNumberFormat="1" applyFont="1" applyBorder="1"/>
    <xf numFmtId="43" fontId="0" fillId="0" borderId="1" xfId="1" applyFont="1" applyBorder="1"/>
    <xf numFmtId="0" fontId="0" fillId="0" borderId="8" xfId="0" applyBorder="1"/>
    <xf numFmtId="43" fontId="0" fillId="0" borderId="9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5" xfId="1" applyFont="1" applyBorder="1"/>
    <xf numFmtId="0" fontId="0" fillId="0" borderId="6" xfId="0" applyBorder="1"/>
    <xf numFmtId="0" fontId="0" fillId="5" borderId="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vertical="center" wrapText="1"/>
    </xf>
    <xf numFmtId="10" fontId="0" fillId="4" borderId="1" xfId="0" applyNumberFormat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2" xfId="0" applyFont="1" applyBorder="1" applyAlignment="1">
      <alignment horizontal="center"/>
    </xf>
    <xf numFmtId="39" fontId="8" fillId="2" borderId="8" xfId="2" applyNumberFormat="1" applyFont="1" applyFill="1" applyBorder="1" applyAlignment="1" applyProtection="1">
      <alignment horizontal="center" vertical="center"/>
      <protection locked="0"/>
    </xf>
    <xf numFmtId="39" fontId="8" fillId="2" borderId="9" xfId="2" applyNumberFormat="1" applyFont="1" applyFill="1" applyBorder="1" applyAlignment="1" applyProtection="1">
      <alignment horizontal="left" vertical="center"/>
      <protection locked="0"/>
    </xf>
    <xf numFmtId="43" fontId="0" fillId="2" borderId="9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3" fontId="0" fillId="2" borderId="9" xfId="1" applyFon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/>
    </xf>
    <xf numFmtId="43" fontId="0" fillId="2" borderId="10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43" fontId="9" fillId="4" borderId="5" xfId="1" applyFont="1" applyFill="1" applyBorder="1" applyAlignment="1">
      <alignment horizontal="center" vertical="center" wrapText="1"/>
    </xf>
    <xf numFmtId="43" fontId="12" fillId="4" borderId="5" xfId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/>
    </xf>
    <xf numFmtId="39" fontId="12" fillId="2" borderId="8" xfId="2" applyNumberFormat="1" applyFont="1" applyFill="1" applyBorder="1" applyAlignment="1" applyProtection="1">
      <alignment horizontal="center" vertical="center"/>
      <protection locked="0"/>
    </xf>
    <xf numFmtId="39" fontId="12" fillId="2" borderId="9" xfId="2" applyNumberFormat="1" applyFont="1" applyFill="1" applyBorder="1" applyAlignment="1" applyProtection="1">
      <alignment horizontal="center" vertical="center"/>
      <protection locked="0"/>
    </xf>
    <xf numFmtId="39" fontId="12" fillId="2" borderId="9" xfId="2" applyNumberFormat="1" applyFont="1" applyFill="1" applyBorder="1" applyAlignment="1" applyProtection="1">
      <alignment horizontal="left" vertical="center"/>
      <protection locked="0"/>
    </xf>
    <xf numFmtId="43" fontId="12" fillId="2" borderId="9" xfId="1" applyFont="1" applyFill="1" applyBorder="1" applyAlignment="1" applyProtection="1">
      <alignment horizontal="center" vertical="center"/>
      <protection locked="0"/>
    </xf>
    <xf numFmtId="43" fontId="9" fillId="2" borderId="9" xfId="1" applyFont="1" applyFill="1" applyBorder="1" applyAlignment="1" applyProtection="1">
      <alignment horizontal="center" vertical="center"/>
      <protection locked="0"/>
    </xf>
    <xf numFmtId="10" fontId="9" fillId="2" borderId="9" xfId="7" applyNumberFormat="1" applyFont="1" applyFill="1" applyBorder="1" applyAlignment="1" applyProtection="1">
      <alignment horizontal="center" vertical="center"/>
      <protection locked="0"/>
    </xf>
    <xf numFmtId="43" fontId="12" fillId="2" borderId="10" xfId="1" applyFont="1" applyFill="1" applyBorder="1" applyAlignment="1" applyProtection="1">
      <alignment horizontal="center" vertical="center"/>
      <protection locked="0"/>
    </xf>
    <xf numFmtId="43" fontId="0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vertical="center" wrapText="1"/>
    </xf>
    <xf numFmtId="43" fontId="0" fillId="0" borderId="3" xfId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169" fontId="9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0" fillId="4" borderId="1" xfId="0" applyFill="1" applyBorder="1" applyAlignment="1">
      <alignment horizontal="left" vertical="top" wrapText="1"/>
    </xf>
    <xf numFmtId="39" fontId="7" fillId="0" borderId="1" xfId="2" applyNumberFormat="1" applyFont="1" applyFill="1" applyBorder="1" applyAlignment="1" applyProtection="1">
      <alignment horizontal="center" vertical="center"/>
      <protection locked="0"/>
    </xf>
    <xf numFmtId="39" fontId="7" fillId="0" borderId="1" xfId="2" applyNumberFormat="1" applyFont="1" applyFill="1" applyBorder="1" applyAlignment="1" applyProtection="1">
      <alignment horizontal="left" vertical="center"/>
      <protection locked="0"/>
    </xf>
    <xf numFmtId="43" fontId="5" fillId="0" borderId="1" xfId="1" applyFont="1" applyFill="1" applyBorder="1" applyAlignment="1" applyProtection="1">
      <alignment horizontal="center" vertical="center"/>
      <protection locked="0"/>
    </xf>
    <xf numFmtId="39" fontId="5" fillId="0" borderId="1" xfId="2" applyNumberFormat="1" applyFon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9" fontId="7" fillId="0" borderId="2" xfId="2" applyNumberFormat="1" applyFont="1" applyFill="1" applyBorder="1" applyAlignment="1" applyProtection="1">
      <alignment horizontal="center" vertical="center"/>
      <protection locked="0"/>
    </xf>
    <xf numFmtId="43" fontId="5" fillId="0" borderId="3" xfId="1" applyFont="1" applyFill="1" applyBorder="1" applyAlignment="1" applyProtection="1">
      <alignment horizontal="center" vertical="center"/>
      <protection locked="0"/>
    </xf>
    <xf numFmtId="39" fontId="6" fillId="3" borderId="7" xfId="2" applyNumberFormat="1" applyFont="1" applyFill="1" applyBorder="1" applyAlignment="1">
      <alignment horizontal="center" vertical="center" wrapText="1"/>
    </xf>
    <xf numFmtId="39" fontId="6" fillId="3" borderId="11" xfId="2" applyNumberFormat="1" applyFont="1" applyFill="1" applyBorder="1" applyAlignment="1">
      <alignment horizontal="center" vertical="center" wrapText="1"/>
    </xf>
    <xf numFmtId="39" fontId="6" fillId="3" borderId="11" xfId="2" applyNumberFormat="1" applyFont="1" applyFill="1" applyBorder="1" applyAlignment="1" applyProtection="1">
      <alignment horizontal="center" vertical="center" wrapText="1"/>
      <protection locked="0"/>
    </xf>
    <xf numFmtId="43" fontId="6" fillId="3" borderId="11" xfId="1" applyFont="1" applyFill="1" applyBorder="1" applyAlignment="1" applyProtection="1">
      <alignment horizontal="center" vertical="center" wrapText="1"/>
      <protection locked="0"/>
    </xf>
    <xf numFmtId="10" fontId="6" fillId="3" borderId="11" xfId="2" applyNumberFormat="1" applyFont="1" applyFill="1" applyBorder="1" applyAlignment="1" applyProtection="1">
      <alignment horizontal="center" vertical="center" wrapText="1"/>
      <protection locked="0"/>
    </xf>
    <xf numFmtId="43" fontId="6" fillId="3" borderId="12" xfId="1" applyFont="1" applyFill="1" applyBorder="1" applyAlignment="1" applyProtection="1">
      <alignment horizontal="center" vertical="center" wrapText="1"/>
      <protection locked="0"/>
    </xf>
    <xf numFmtId="39" fontId="8" fillId="2" borderId="9" xfId="2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5" xfId="0" applyFont="1" applyBorder="1"/>
    <xf numFmtId="4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0" fontId="12" fillId="0" borderId="5" xfId="2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39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>
      <alignment horizontal="center" vertical="center"/>
    </xf>
    <xf numFmtId="43" fontId="0" fillId="4" borderId="3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5" xfId="0" applyFont="1" applyFill="1" applyBorder="1"/>
    <xf numFmtId="43" fontId="0" fillId="2" borderId="5" xfId="1" applyFont="1" applyFill="1" applyBorder="1" applyAlignment="1">
      <alignment horizontal="center"/>
    </xf>
    <xf numFmtId="43" fontId="0" fillId="2" borderId="5" xfId="1" applyFon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/>
    </xf>
    <xf numFmtId="43" fontId="2" fillId="2" borderId="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10" fontId="0" fillId="0" borderId="13" xfId="0" applyNumberFormat="1" applyBorder="1"/>
    <xf numFmtId="10" fontId="0" fillId="0" borderId="17" xfId="0" applyNumberFormat="1" applyBorder="1"/>
    <xf numFmtId="43" fontId="0" fillId="5" borderId="11" xfId="1" applyFont="1" applyFill="1" applyBorder="1" applyAlignment="1">
      <alignment horizontal="center"/>
    </xf>
    <xf numFmtId="43" fontId="0" fillId="0" borderId="0" xfId="1" applyFont="1"/>
    <xf numFmtId="43" fontId="0" fillId="0" borderId="17" xfId="1" applyFont="1" applyBorder="1"/>
    <xf numFmtId="43" fontId="0" fillId="0" borderId="18" xfId="1" applyFont="1" applyBorder="1"/>
    <xf numFmtId="43" fontId="0" fillId="0" borderId="13" xfId="1" applyFont="1" applyBorder="1"/>
    <xf numFmtId="43" fontId="0" fillId="5" borderId="16" xfId="1" applyFont="1" applyFill="1" applyBorder="1" applyAlignment="1">
      <alignment horizontal="center"/>
    </xf>
    <xf numFmtId="43" fontId="2" fillId="0" borderId="3" xfId="0" applyNumberFormat="1" applyFont="1" applyBorder="1"/>
    <xf numFmtId="0" fontId="9" fillId="0" borderId="1" xfId="0" applyFont="1" applyFill="1" applyBorder="1" applyAlignment="1">
      <alignment horizontal="center" vertical="center"/>
    </xf>
    <xf numFmtId="39" fontId="10" fillId="0" borderId="8" xfId="2" applyNumberFormat="1" applyFont="1" applyFill="1" applyBorder="1" applyAlignment="1" applyProtection="1">
      <alignment horizontal="center" vertical="center"/>
      <protection locked="0"/>
    </xf>
    <xf numFmtId="39" fontId="10" fillId="0" borderId="9" xfId="2" applyNumberFormat="1" applyFont="1" applyFill="1" applyBorder="1" applyAlignment="1" applyProtection="1">
      <alignment horizontal="center" vertical="center"/>
      <protection locked="0"/>
    </xf>
    <xf numFmtId="39" fontId="10" fillId="0" borderId="10" xfId="2" applyNumberFormat="1" applyFont="1" applyFill="1" applyBorder="1" applyAlignment="1" applyProtection="1">
      <alignment horizontal="center" vertical="center"/>
      <protection locked="0"/>
    </xf>
    <xf numFmtId="39" fontId="11" fillId="0" borderId="2" xfId="2" applyNumberFormat="1" applyFont="1" applyFill="1" applyBorder="1" applyAlignment="1" applyProtection="1">
      <alignment horizontal="left" vertical="center"/>
      <protection locked="0"/>
    </xf>
    <xf numFmtId="39" fontId="11" fillId="0" borderId="1" xfId="2" applyNumberFormat="1" applyFont="1" applyFill="1" applyBorder="1" applyAlignment="1" applyProtection="1">
      <alignment horizontal="left" vertical="center"/>
      <protection locked="0"/>
    </xf>
    <xf numFmtId="39" fontId="11" fillId="0" borderId="3" xfId="2" applyNumberFormat="1" applyFont="1" applyFill="1" applyBorder="1" applyAlignment="1" applyProtection="1">
      <alignment horizontal="left" vertical="center"/>
      <protection locked="0"/>
    </xf>
    <xf numFmtId="39" fontId="7" fillId="0" borderId="4" xfId="2" applyNumberFormat="1" applyFont="1" applyFill="1" applyBorder="1" applyAlignment="1" applyProtection="1">
      <alignment horizontal="center" vertical="center"/>
      <protection locked="0"/>
    </xf>
    <xf numFmtId="39" fontId="7" fillId="0" borderId="5" xfId="2" applyNumberFormat="1" applyFont="1" applyFill="1" applyBorder="1" applyAlignment="1" applyProtection="1">
      <alignment horizontal="center" vertical="center"/>
      <protection locked="0"/>
    </xf>
    <xf numFmtId="39" fontId="7" fillId="0" borderId="6" xfId="2" applyNumberFormat="1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39" fontId="0" fillId="0" borderId="13" xfId="0" applyNumberFormat="1" applyBorder="1" applyAlignment="1">
      <alignment horizontal="left"/>
    </xf>
    <xf numFmtId="39" fontId="0" fillId="0" borderId="14" xfId="0" applyNumberFormat="1" applyBorder="1" applyAlignment="1">
      <alignment horizontal="left"/>
    </xf>
    <xf numFmtId="39" fontId="0" fillId="0" borderId="15" xfId="0" applyNumberFormat="1" applyBorder="1" applyAlignment="1">
      <alignment horizontal="left"/>
    </xf>
  </cellXfs>
  <cellStyles count="9">
    <cellStyle name="Moeda 2" xfId="4"/>
    <cellStyle name="Moeda 3" xfId="3"/>
    <cellStyle name="Normal" xfId="0" builtinId="0"/>
    <cellStyle name="Normal 2" xfId="5"/>
    <cellStyle name="Normal 3" xfId="2"/>
    <cellStyle name="Porcentagem 2" xfId="6"/>
    <cellStyle name="Vírgula" xfId="1" builtinId="3"/>
    <cellStyle name="Vírgula 2" xfId="8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opLeftCell="A49" zoomScale="96" zoomScaleNormal="96" workbookViewId="0">
      <selection sqref="A1:H79"/>
    </sheetView>
  </sheetViews>
  <sheetFormatPr defaultRowHeight="15" x14ac:dyDescent="0.25"/>
  <cols>
    <col min="1" max="1" width="7.140625" style="2" bestFit="1" customWidth="1"/>
    <col min="2" max="2" width="17.42578125" style="2" customWidth="1"/>
    <col min="3" max="3" width="105.140625" customWidth="1"/>
    <col min="4" max="4" width="12" style="7" customWidth="1"/>
    <col min="5" max="5" width="7.7109375" style="2" bestFit="1" customWidth="1"/>
    <col min="6" max="6" width="18" style="5" bestFit="1" customWidth="1"/>
    <col min="7" max="7" width="8.85546875" style="1" customWidth="1"/>
    <col min="8" max="8" width="17.42578125" style="5" bestFit="1" customWidth="1"/>
    <col min="10" max="10" width="11.5703125" bestFit="1" customWidth="1"/>
  </cols>
  <sheetData>
    <row r="1" spans="1:8" ht="26.25" x14ac:dyDescent="0.25">
      <c r="A1" s="148" t="s">
        <v>0</v>
      </c>
      <c r="B1" s="149"/>
      <c r="C1" s="149"/>
      <c r="D1" s="149"/>
      <c r="E1" s="149"/>
      <c r="F1" s="149"/>
      <c r="G1" s="149"/>
      <c r="H1" s="150"/>
    </row>
    <row r="2" spans="1:8" ht="18.75" x14ac:dyDescent="0.25">
      <c r="A2" s="151" t="s">
        <v>41</v>
      </c>
      <c r="B2" s="152"/>
      <c r="C2" s="152"/>
      <c r="D2" s="152"/>
      <c r="E2" s="152"/>
      <c r="F2" s="152"/>
      <c r="G2" s="152"/>
      <c r="H2" s="153"/>
    </row>
    <row r="3" spans="1:8" ht="15.75" x14ac:dyDescent="0.25">
      <c r="A3" s="106" t="s">
        <v>1</v>
      </c>
      <c r="B3" s="99"/>
      <c r="C3" s="100" t="s">
        <v>42</v>
      </c>
      <c r="D3" s="101"/>
      <c r="E3" s="102"/>
      <c r="F3" s="101"/>
      <c r="G3" s="103"/>
      <c r="H3" s="107"/>
    </row>
    <row r="4" spans="1:8" ht="16.5" thickBot="1" x14ac:dyDescent="0.3">
      <c r="A4" s="154"/>
      <c r="B4" s="155"/>
      <c r="C4" s="155"/>
      <c r="D4" s="155"/>
      <c r="E4" s="155"/>
      <c r="F4" s="155"/>
      <c r="G4" s="155"/>
      <c r="H4" s="156"/>
    </row>
    <row r="5" spans="1:8" ht="32.25" thickBot="1" x14ac:dyDescent="0.3">
      <c r="A5" s="108" t="s">
        <v>2</v>
      </c>
      <c r="B5" s="109" t="s">
        <v>17</v>
      </c>
      <c r="C5" s="110" t="s">
        <v>3</v>
      </c>
      <c r="D5" s="111" t="s">
        <v>4</v>
      </c>
      <c r="E5" s="110" t="s">
        <v>5</v>
      </c>
      <c r="F5" s="111" t="s">
        <v>6</v>
      </c>
      <c r="G5" s="112" t="s">
        <v>7</v>
      </c>
      <c r="H5" s="113" t="s">
        <v>8</v>
      </c>
    </row>
    <row r="6" spans="1:8" ht="15.75" x14ac:dyDescent="0.25">
      <c r="A6" s="61" t="s">
        <v>9</v>
      </c>
      <c r="B6" s="114"/>
      <c r="C6" s="62" t="s">
        <v>10</v>
      </c>
      <c r="D6" s="63"/>
      <c r="E6" s="64"/>
      <c r="F6" s="65"/>
      <c r="G6" s="66"/>
      <c r="H6" s="67"/>
    </row>
    <row r="7" spans="1:8" x14ac:dyDescent="0.25">
      <c r="A7" s="12" t="s">
        <v>11</v>
      </c>
      <c r="B7" s="83" t="s">
        <v>52</v>
      </c>
      <c r="C7" s="13" t="s">
        <v>12</v>
      </c>
      <c r="D7" s="8">
        <v>1.5</v>
      </c>
      <c r="E7" s="14" t="s">
        <v>13</v>
      </c>
      <c r="F7" s="16">
        <v>316.38</v>
      </c>
      <c r="G7" s="15">
        <v>0.25</v>
      </c>
      <c r="H7" s="11">
        <f>((F7*G7)+F7)*D7</f>
        <v>593.21250000000009</v>
      </c>
    </row>
    <row r="8" spans="1:8" ht="15.75" thickBot="1" x14ac:dyDescent="0.3">
      <c r="A8" s="115"/>
      <c r="B8" s="116"/>
      <c r="C8" s="117"/>
      <c r="D8" s="118"/>
      <c r="E8" s="119"/>
      <c r="F8" s="71" t="s">
        <v>14</v>
      </c>
      <c r="G8" s="120"/>
      <c r="H8" s="4">
        <f>SUM(H7)</f>
        <v>593.21250000000009</v>
      </c>
    </row>
    <row r="9" spans="1:8" x14ac:dyDescent="0.25">
      <c r="A9" s="73" t="s">
        <v>15</v>
      </c>
      <c r="B9" s="74"/>
      <c r="C9" s="75" t="s">
        <v>73</v>
      </c>
      <c r="D9" s="76"/>
      <c r="E9" s="74"/>
      <c r="F9" s="77"/>
      <c r="G9" s="78"/>
      <c r="H9" s="79"/>
    </row>
    <row r="10" spans="1:8" x14ac:dyDescent="0.25">
      <c r="A10" s="60" t="s">
        <v>16</v>
      </c>
      <c r="B10" s="85" t="s">
        <v>159</v>
      </c>
      <c r="C10" s="56" t="s">
        <v>63</v>
      </c>
      <c r="D10" s="55">
        <v>1900</v>
      </c>
      <c r="E10" s="57" t="s">
        <v>21</v>
      </c>
      <c r="F10" s="59">
        <v>1.45</v>
      </c>
      <c r="G10" s="89">
        <v>0.25</v>
      </c>
      <c r="H10" s="91">
        <f t="shared" ref="H10:H12" si="0">(D10*F10)*1.25</f>
        <v>3443.75</v>
      </c>
    </row>
    <row r="11" spans="1:8" x14ac:dyDescent="0.25">
      <c r="A11" s="60" t="s">
        <v>76</v>
      </c>
      <c r="B11" s="95">
        <v>89517</v>
      </c>
      <c r="C11" s="96" t="s">
        <v>74</v>
      </c>
      <c r="D11" s="87">
        <v>5</v>
      </c>
      <c r="E11" s="23" t="s">
        <v>202</v>
      </c>
      <c r="F11" s="88">
        <v>74.849999999999994</v>
      </c>
      <c r="G11" s="89">
        <v>0.25</v>
      </c>
      <c r="H11" s="91">
        <f t="shared" si="0"/>
        <v>467.8125</v>
      </c>
    </row>
    <row r="12" spans="1:8" x14ac:dyDescent="0.25">
      <c r="A12" s="60" t="s">
        <v>77</v>
      </c>
      <c r="B12" s="95" t="s">
        <v>160</v>
      </c>
      <c r="C12" s="3" t="s">
        <v>75</v>
      </c>
      <c r="D12" s="18">
        <v>2</v>
      </c>
      <c r="E12" s="18" t="s">
        <v>202</v>
      </c>
      <c r="F12" s="18">
        <v>120.91</v>
      </c>
      <c r="G12" s="89">
        <v>0.25</v>
      </c>
      <c r="H12" s="91">
        <f t="shared" si="0"/>
        <v>302.27499999999998</v>
      </c>
    </row>
    <row r="13" spans="1:8" ht="15.75" thickBot="1" x14ac:dyDescent="0.3">
      <c r="A13" s="115"/>
      <c r="B13" s="116"/>
      <c r="C13" s="117"/>
      <c r="D13" s="118"/>
      <c r="E13" s="119"/>
      <c r="F13" s="71" t="s">
        <v>14</v>
      </c>
      <c r="G13" s="72"/>
      <c r="H13" s="4">
        <f>SUM(H10:H12)</f>
        <v>4213.8374999999996</v>
      </c>
    </row>
    <row r="14" spans="1:8" x14ac:dyDescent="0.25">
      <c r="A14" s="73" t="s">
        <v>19</v>
      </c>
      <c r="B14" s="74"/>
      <c r="C14" s="75" t="s">
        <v>168</v>
      </c>
      <c r="D14" s="76"/>
      <c r="E14" s="74"/>
      <c r="F14" s="77"/>
      <c r="G14" s="78"/>
      <c r="H14" s="79"/>
    </row>
    <row r="15" spans="1:8" x14ac:dyDescent="0.25">
      <c r="A15" s="60" t="s">
        <v>58</v>
      </c>
      <c r="B15" s="95" t="s">
        <v>53</v>
      </c>
      <c r="C15" s="96" t="s">
        <v>50</v>
      </c>
      <c r="D15" s="87">
        <f>3*10*0.5</f>
        <v>15</v>
      </c>
      <c r="E15" s="23" t="s">
        <v>18</v>
      </c>
      <c r="F15" s="88">
        <v>10.02</v>
      </c>
      <c r="G15" s="89">
        <v>0.25</v>
      </c>
      <c r="H15" s="91">
        <f t="shared" ref="H15:H18" si="1">(D15*F15)*1.25</f>
        <v>187.87499999999997</v>
      </c>
    </row>
    <row r="16" spans="1:8" x14ac:dyDescent="0.25">
      <c r="A16" s="60" t="s">
        <v>20</v>
      </c>
      <c r="B16" s="95" t="s">
        <v>54</v>
      </c>
      <c r="C16" s="96" t="s">
        <v>51</v>
      </c>
      <c r="D16" s="87">
        <f>3*10*0.2</f>
        <v>6</v>
      </c>
      <c r="E16" s="23" t="s">
        <v>18</v>
      </c>
      <c r="F16" s="88">
        <v>57.7</v>
      </c>
      <c r="G16" s="89">
        <v>0.25</v>
      </c>
      <c r="H16" s="91">
        <f t="shared" si="1"/>
        <v>432.75000000000006</v>
      </c>
    </row>
    <row r="17" spans="1:8" x14ac:dyDescent="0.25">
      <c r="A17" s="60" t="s">
        <v>22</v>
      </c>
      <c r="B17" s="85" t="s">
        <v>55</v>
      </c>
      <c r="C17" s="3" t="s">
        <v>57</v>
      </c>
      <c r="D17" s="18">
        <f>3*10*0.05</f>
        <v>1.5</v>
      </c>
      <c r="E17" s="18" t="s">
        <v>13</v>
      </c>
      <c r="F17" s="18">
        <v>88.64</v>
      </c>
      <c r="G17" s="89">
        <v>0.25</v>
      </c>
      <c r="H17" s="91">
        <f t="shared" si="1"/>
        <v>166.20000000000002</v>
      </c>
    </row>
    <row r="18" spans="1:8" ht="30" x14ac:dyDescent="0.25">
      <c r="A18" s="60" t="s">
        <v>24</v>
      </c>
      <c r="B18" s="147" t="s">
        <v>203</v>
      </c>
      <c r="C18" s="3" t="s">
        <v>204</v>
      </c>
      <c r="D18" s="18">
        <f>3*10*0.1</f>
        <v>3</v>
      </c>
      <c r="E18" s="18" t="s">
        <v>18</v>
      </c>
      <c r="F18" s="18">
        <v>655.25</v>
      </c>
      <c r="G18" s="92">
        <v>0.25</v>
      </c>
      <c r="H18" s="91">
        <f t="shared" si="1"/>
        <v>2457.1875</v>
      </c>
    </row>
    <row r="19" spans="1:8" x14ac:dyDescent="0.25">
      <c r="A19" s="60" t="s">
        <v>25</v>
      </c>
      <c r="B19" s="85" t="s">
        <v>56</v>
      </c>
      <c r="C19" s="90" t="s">
        <v>212</v>
      </c>
      <c r="D19" s="18">
        <v>3</v>
      </c>
      <c r="E19" s="93" t="s">
        <v>43</v>
      </c>
      <c r="F19" s="18">
        <v>10030.200000000001</v>
      </c>
      <c r="G19" s="89">
        <v>0.25</v>
      </c>
      <c r="H19" s="91">
        <f t="shared" ref="H19:H56" si="2">(D19*F19)*1.25</f>
        <v>37613.25</v>
      </c>
    </row>
    <row r="20" spans="1:8" x14ac:dyDescent="0.25">
      <c r="A20" s="60" t="s">
        <v>39</v>
      </c>
      <c r="B20" s="85" t="s">
        <v>56</v>
      </c>
      <c r="C20" s="97" t="s">
        <v>86</v>
      </c>
      <c r="D20" s="18">
        <v>2</v>
      </c>
      <c r="E20" s="93" t="s">
        <v>43</v>
      </c>
      <c r="F20" s="18">
        <v>1222.52</v>
      </c>
      <c r="G20" s="89">
        <v>0.25</v>
      </c>
      <c r="H20" s="91">
        <f t="shared" si="2"/>
        <v>3056.3</v>
      </c>
    </row>
    <row r="21" spans="1:8" x14ac:dyDescent="0.25">
      <c r="A21" s="60" t="s">
        <v>40</v>
      </c>
      <c r="B21" s="85" t="s">
        <v>56</v>
      </c>
      <c r="C21" s="90" t="s">
        <v>78</v>
      </c>
      <c r="D21" s="18">
        <v>1</v>
      </c>
      <c r="E21" s="93" t="s">
        <v>43</v>
      </c>
      <c r="F21" s="18">
        <f>85*1.15</f>
        <v>97.749999999999986</v>
      </c>
      <c r="G21" s="89">
        <v>0.25</v>
      </c>
      <c r="H21" s="91">
        <f t="shared" si="2"/>
        <v>122.18749999999999</v>
      </c>
    </row>
    <row r="22" spans="1:8" x14ac:dyDescent="0.25">
      <c r="A22" s="60" t="s">
        <v>44</v>
      </c>
      <c r="B22" s="85" t="s">
        <v>56</v>
      </c>
      <c r="C22" s="90" t="s">
        <v>79</v>
      </c>
      <c r="D22" s="18">
        <v>2</v>
      </c>
      <c r="E22" s="93" t="s">
        <v>80</v>
      </c>
      <c r="F22" s="18">
        <f>55*1.15</f>
        <v>63.249999999999993</v>
      </c>
      <c r="G22" s="89">
        <v>0.25</v>
      </c>
      <c r="H22" s="91">
        <f t="shared" si="2"/>
        <v>158.12499999999997</v>
      </c>
    </row>
    <row r="23" spans="1:8" x14ac:dyDescent="0.25">
      <c r="A23" s="60" t="s">
        <v>45</v>
      </c>
      <c r="B23" s="85" t="s">
        <v>56</v>
      </c>
      <c r="C23" s="90" t="s">
        <v>87</v>
      </c>
      <c r="D23" s="18">
        <v>2</v>
      </c>
      <c r="E23" s="93" t="s">
        <v>80</v>
      </c>
      <c r="F23" s="18">
        <f>55*1.15</f>
        <v>63.249999999999993</v>
      </c>
      <c r="G23" s="89">
        <v>0.25</v>
      </c>
      <c r="H23" s="91">
        <f t="shared" si="2"/>
        <v>158.12499999999997</v>
      </c>
    </row>
    <row r="24" spans="1:8" x14ac:dyDescent="0.25">
      <c r="A24" s="60" t="s">
        <v>46</v>
      </c>
      <c r="B24" s="85" t="s">
        <v>56</v>
      </c>
      <c r="C24" s="90" t="s">
        <v>81</v>
      </c>
      <c r="D24" s="18">
        <v>2</v>
      </c>
      <c r="E24" s="93" t="s">
        <v>43</v>
      </c>
      <c r="F24" s="18">
        <f>130*1.15</f>
        <v>149.5</v>
      </c>
      <c r="G24" s="89">
        <v>0.25</v>
      </c>
      <c r="H24" s="91">
        <f t="shared" si="2"/>
        <v>373.75</v>
      </c>
    </row>
    <row r="25" spans="1:8" ht="45" x14ac:dyDescent="0.25">
      <c r="A25" s="22" t="s">
        <v>47</v>
      </c>
      <c r="B25" s="85" t="s">
        <v>56</v>
      </c>
      <c r="C25" s="94" t="s">
        <v>144</v>
      </c>
      <c r="D25" s="18">
        <v>1</v>
      </c>
      <c r="E25" s="93" t="s">
        <v>43</v>
      </c>
      <c r="F25" s="18">
        <f>4850*1.15</f>
        <v>5577.5</v>
      </c>
      <c r="G25" s="92">
        <v>0.25</v>
      </c>
      <c r="H25" s="91">
        <f t="shared" si="2"/>
        <v>6971.875</v>
      </c>
    </row>
    <row r="26" spans="1:8" x14ac:dyDescent="0.25">
      <c r="A26" s="22" t="s">
        <v>48</v>
      </c>
      <c r="B26" s="85" t="s">
        <v>56</v>
      </c>
      <c r="C26" s="90" t="s">
        <v>145</v>
      </c>
      <c r="D26" s="18">
        <v>10</v>
      </c>
      <c r="E26" s="93" t="s">
        <v>43</v>
      </c>
      <c r="F26" s="18">
        <f>185*1.15</f>
        <v>212.74999999999997</v>
      </c>
      <c r="G26" s="89">
        <v>0.25</v>
      </c>
      <c r="H26" s="91">
        <f t="shared" si="2"/>
        <v>2659.3749999999995</v>
      </c>
    </row>
    <row r="27" spans="1:8" x14ac:dyDescent="0.25">
      <c r="A27" s="22" t="s">
        <v>95</v>
      </c>
      <c r="B27" s="85" t="s">
        <v>56</v>
      </c>
      <c r="C27" s="90" t="s">
        <v>146</v>
      </c>
      <c r="D27" s="18">
        <v>9</v>
      </c>
      <c r="E27" s="93" t="s">
        <v>80</v>
      </c>
      <c r="F27" s="18">
        <f>200*1.15</f>
        <v>229.99999999999997</v>
      </c>
      <c r="G27" s="89">
        <v>0.25</v>
      </c>
      <c r="H27" s="91">
        <f t="shared" si="2"/>
        <v>2587.4999999999995</v>
      </c>
    </row>
    <row r="28" spans="1:8" x14ac:dyDescent="0.25">
      <c r="A28" s="22" t="s">
        <v>96</v>
      </c>
      <c r="B28" s="85" t="str">
        <f>B10</f>
        <v>90407 (CASAN)</v>
      </c>
      <c r="C28" s="90" t="s">
        <v>147</v>
      </c>
      <c r="D28" s="18">
        <v>30</v>
      </c>
      <c r="E28" s="93" t="s">
        <v>21</v>
      </c>
      <c r="F28" s="18">
        <f>F10</f>
        <v>1.45</v>
      </c>
      <c r="G28" s="89">
        <v>0.25</v>
      </c>
      <c r="H28" s="91">
        <f t="shared" si="2"/>
        <v>54.375</v>
      </c>
    </row>
    <row r="29" spans="1:8" x14ac:dyDescent="0.25">
      <c r="A29" s="22" t="s">
        <v>97</v>
      </c>
      <c r="B29" s="85" t="s">
        <v>149</v>
      </c>
      <c r="C29" s="90" t="s">
        <v>82</v>
      </c>
      <c r="D29" s="18">
        <v>30</v>
      </c>
      <c r="E29" s="93" t="s">
        <v>21</v>
      </c>
      <c r="F29" s="18">
        <v>6.15</v>
      </c>
      <c r="G29" s="89">
        <v>0.25</v>
      </c>
      <c r="H29" s="91">
        <f t="shared" si="2"/>
        <v>230.625</v>
      </c>
    </row>
    <row r="30" spans="1:8" x14ac:dyDescent="0.25">
      <c r="A30" s="22" t="s">
        <v>98</v>
      </c>
      <c r="B30" s="85" t="s">
        <v>150</v>
      </c>
      <c r="C30" s="90" t="s">
        <v>148</v>
      </c>
      <c r="D30" s="18">
        <v>6</v>
      </c>
      <c r="E30" s="93" t="s">
        <v>43</v>
      </c>
      <c r="F30" s="18">
        <v>38.57</v>
      </c>
      <c r="G30" s="89">
        <v>0.25</v>
      </c>
      <c r="H30" s="91">
        <f t="shared" si="2"/>
        <v>289.27500000000003</v>
      </c>
    </row>
    <row r="31" spans="1:8" x14ac:dyDescent="0.25">
      <c r="A31" s="22" t="s">
        <v>99</v>
      </c>
      <c r="B31" s="85" t="s">
        <v>151</v>
      </c>
      <c r="C31" s="90" t="s">
        <v>83</v>
      </c>
      <c r="D31" s="18">
        <v>10</v>
      </c>
      <c r="E31" s="93" t="s">
        <v>43</v>
      </c>
      <c r="F31" s="18">
        <v>14.11</v>
      </c>
      <c r="G31" s="89">
        <v>0.25</v>
      </c>
      <c r="H31" s="91">
        <f t="shared" si="2"/>
        <v>176.375</v>
      </c>
    </row>
    <row r="32" spans="1:8" x14ac:dyDescent="0.25">
      <c r="A32" s="22" t="s">
        <v>100</v>
      </c>
      <c r="B32" s="85" t="s">
        <v>152</v>
      </c>
      <c r="C32" s="90" t="s">
        <v>84</v>
      </c>
      <c r="D32" s="18">
        <v>4</v>
      </c>
      <c r="E32" s="93" t="s">
        <v>43</v>
      </c>
      <c r="F32" s="18">
        <v>26.8</v>
      </c>
      <c r="G32" s="89">
        <v>0.25</v>
      </c>
      <c r="H32" s="91">
        <f t="shared" si="2"/>
        <v>134</v>
      </c>
    </row>
    <row r="33" spans="1:8" x14ac:dyDescent="0.25">
      <c r="A33" s="22" t="s">
        <v>101</v>
      </c>
      <c r="B33" s="85" t="s">
        <v>153</v>
      </c>
      <c r="C33" s="90" t="s">
        <v>85</v>
      </c>
      <c r="D33" s="18">
        <v>3</v>
      </c>
      <c r="E33" s="93" t="s">
        <v>43</v>
      </c>
      <c r="F33" s="18">
        <v>20.96</v>
      </c>
      <c r="G33" s="89">
        <v>0.25</v>
      </c>
      <c r="H33" s="91">
        <f t="shared" si="2"/>
        <v>78.600000000000009</v>
      </c>
    </row>
    <row r="34" spans="1:8" x14ac:dyDescent="0.25">
      <c r="A34" s="22" t="s">
        <v>102</v>
      </c>
      <c r="B34" s="85" t="s">
        <v>154</v>
      </c>
      <c r="C34" s="90" t="s">
        <v>88</v>
      </c>
      <c r="D34" s="18">
        <v>12</v>
      </c>
      <c r="E34" s="93" t="s">
        <v>43</v>
      </c>
      <c r="F34" s="18">
        <v>54.12</v>
      </c>
      <c r="G34" s="89">
        <v>0.25</v>
      </c>
      <c r="H34" s="91">
        <f t="shared" si="2"/>
        <v>811.8</v>
      </c>
    </row>
    <row r="35" spans="1:8" x14ac:dyDescent="0.25">
      <c r="A35" s="22" t="s">
        <v>103</v>
      </c>
      <c r="B35" s="85" t="s">
        <v>155</v>
      </c>
      <c r="C35" s="90" t="s">
        <v>89</v>
      </c>
      <c r="D35" s="18">
        <v>8</v>
      </c>
      <c r="E35" s="93" t="s">
        <v>43</v>
      </c>
      <c r="F35" s="18">
        <v>10.74</v>
      </c>
      <c r="G35" s="89">
        <v>0.25</v>
      </c>
      <c r="H35" s="91">
        <f t="shared" si="2"/>
        <v>107.4</v>
      </c>
    </row>
    <row r="36" spans="1:8" x14ac:dyDescent="0.25">
      <c r="A36" s="22" t="s">
        <v>104</v>
      </c>
      <c r="B36" s="85">
        <v>96639</v>
      </c>
      <c r="C36" s="90" t="s">
        <v>90</v>
      </c>
      <c r="D36" s="18">
        <v>8</v>
      </c>
      <c r="E36" s="93" t="s">
        <v>43</v>
      </c>
      <c r="F36" s="18">
        <v>11</v>
      </c>
      <c r="G36" s="89">
        <v>0.25</v>
      </c>
      <c r="H36" s="91">
        <f t="shared" si="2"/>
        <v>110</v>
      </c>
    </row>
    <row r="37" spans="1:8" x14ac:dyDescent="0.25">
      <c r="A37" s="22" t="s">
        <v>105</v>
      </c>
      <c r="B37" s="85" t="s">
        <v>56</v>
      </c>
      <c r="C37" s="90" t="s">
        <v>121</v>
      </c>
      <c r="D37" s="18">
        <v>4</v>
      </c>
      <c r="E37" s="93" t="s">
        <v>43</v>
      </c>
      <c r="F37" s="18">
        <v>13.2</v>
      </c>
      <c r="G37" s="89">
        <v>0.25</v>
      </c>
      <c r="H37" s="91">
        <f t="shared" si="2"/>
        <v>66</v>
      </c>
    </row>
    <row r="38" spans="1:8" x14ac:dyDescent="0.25">
      <c r="A38" s="22" t="s">
        <v>106</v>
      </c>
      <c r="B38" s="85" t="s">
        <v>56</v>
      </c>
      <c r="C38" s="90" t="s">
        <v>120</v>
      </c>
      <c r="D38" s="18">
        <v>6</v>
      </c>
      <c r="E38" s="93" t="s">
        <v>43</v>
      </c>
      <c r="F38" s="18">
        <v>4.2</v>
      </c>
      <c r="G38" s="89">
        <v>0.25</v>
      </c>
      <c r="H38" s="91">
        <f t="shared" si="2"/>
        <v>31.500000000000004</v>
      </c>
    </row>
    <row r="39" spans="1:8" x14ac:dyDescent="0.25">
      <c r="A39" s="22" t="s">
        <v>107</v>
      </c>
      <c r="B39" s="85" t="s">
        <v>56</v>
      </c>
      <c r="C39" s="90" t="s">
        <v>122</v>
      </c>
      <c r="D39" s="18">
        <v>2</v>
      </c>
      <c r="E39" s="93" t="s">
        <v>43</v>
      </c>
      <c r="F39" s="18">
        <v>0.75</v>
      </c>
      <c r="G39" s="89">
        <v>0.25</v>
      </c>
      <c r="H39" s="91">
        <f t="shared" si="2"/>
        <v>1.875</v>
      </c>
    </row>
    <row r="40" spans="1:8" x14ac:dyDescent="0.25">
      <c r="A40" s="22" t="s">
        <v>108</v>
      </c>
      <c r="B40" s="85" t="s">
        <v>56</v>
      </c>
      <c r="C40" s="90" t="s">
        <v>91</v>
      </c>
      <c r="D40" s="18">
        <v>2</v>
      </c>
      <c r="E40" s="93" t="s">
        <v>43</v>
      </c>
      <c r="F40" s="18">
        <v>5.8</v>
      </c>
      <c r="G40" s="89">
        <v>0.25</v>
      </c>
      <c r="H40" s="91">
        <f t="shared" si="2"/>
        <v>14.5</v>
      </c>
    </row>
    <row r="41" spans="1:8" x14ac:dyDescent="0.25">
      <c r="A41" s="22" t="s">
        <v>110</v>
      </c>
      <c r="B41" s="85" t="s">
        <v>158</v>
      </c>
      <c r="C41" s="90" t="s">
        <v>92</v>
      </c>
      <c r="D41" s="18">
        <v>2</v>
      </c>
      <c r="E41" s="93" t="s">
        <v>43</v>
      </c>
      <c r="F41" s="18">
        <v>7.41</v>
      </c>
      <c r="G41" s="89">
        <v>0.25</v>
      </c>
      <c r="H41" s="91">
        <f t="shared" si="2"/>
        <v>18.524999999999999</v>
      </c>
    </row>
    <row r="42" spans="1:8" x14ac:dyDescent="0.25">
      <c r="A42" s="22" t="s">
        <v>111</v>
      </c>
      <c r="B42" s="85" t="s">
        <v>156</v>
      </c>
      <c r="C42" s="90" t="s">
        <v>93</v>
      </c>
      <c r="D42" s="18">
        <v>2</v>
      </c>
      <c r="E42" s="93" t="s">
        <v>43</v>
      </c>
      <c r="F42" s="18">
        <v>53.32</v>
      </c>
      <c r="G42" s="89">
        <v>0.25</v>
      </c>
      <c r="H42" s="91">
        <f t="shared" si="2"/>
        <v>133.30000000000001</v>
      </c>
    </row>
    <row r="43" spans="1:8" x14ac:dyDescent="0.25">
      <c r="A43" s="22" t="s">
        <v>112</v>
      </c>
      <c r="B43" s="85" t="s">
        <v>157</v>
      </c>
      <c r="C43" s="90" t="s">
        <v>94</v>
      </c>
      <c r="D43" s="18">
        <v>4</v>
      </c>
      <c r="E43" s="93" t="s">
        <v>80</v>
      </c>
      <c r="F43" s="18">
        <v>3.4</v>
      </c>
      <c r="G43" s="89">
        <v>0.25</v>
      </c>
      <c r="H43" s="91">
        <f t="shared" si="2"/>
        <v>17</v>
      </c>
    </row>
    <row r="44" spans="1:8" ht="15.75" thickBot="1" x14ac:dyDescent="0.3">
      <c r="A44" s="121"/>
      <c r="B44" s="84"/>
      <c r="C44" s="122"/>
      <c r="D44" s="70"/>
      <c r="E44" s="123"/>
      <c r="F44" s="71" t="str">
        <f>F13</f>
        <v>SUB-TOTAL</v>
      </c>
      <c r="G44" s="72"/>
      <c r="H44" s="4">
        <f>SUM(H15:H43)</f>
        <v>59219.650000000009</v>
      </c>
    </row>
    <row r="45" spans="1:8" x14ac:dyDescent="0.25">
      <c r="A45" s="73" t="s">
        <v>169</v>
      </c>
      <c r="B45" s="74"/>
      <c r="C45" s="75" t="s">
        <v>109</v>
      </c>
      <c r="D45" s="76"/>
      <c r="E45" s="74"/>
      <c r="F45" s="77"/>
      <c r="G45" s="78"/>
      <c r="H45" s="79"/>
    </row>
    <row r="46" spans="1:8" x14ac:dyDescent="0.25">
      <c r="A46" s="60" t="s">
        <v>170</v>
      </c>
      <c r="B46" s="85">
        <v>89301</v>
      </c>
      <c r="C46" s="53" t="s">
        <v>113</v>
      </c>
      <c r="D46" s="18">
        <v>27.5</v>
      </c>
      <c r="E46" s="57" t="s">
        <v>114</v>
      </c>
      <c r="F46" s="18">
        <v>105.44</v>
      </c>
      <c r="G46" s="15">
        <v>0.25</v>
      </c>
      <c r="H46" s="11">
        <f t="shared" si="2"/>
        <v>3624.5</v>
      </c>
    </row>
    <row r="47" spans="1:8" ht="30" x14ac:dyDescent="0.25">
      <c r="A47" s="60" t="s">
        <v>171</v>
      </c>
      <c r="B47" s="147" t="s">
        <v>203</v>
      </c>
      <c r="C47" s="3" t="s">
        <v>204</v>
      </c>
      <c r="D47" s="18">
        <v>1.23</v>
      </c>
      <c r="E47" s="57" t="s">
        <v>116</v>
      </c>
      <c r="F47" s="18">
        <v>602.87</v>
      </c>
      <c r="G47" s="15">
        <v>0.25</v>
      </c>
      <c r="H47" s="11">
        <f t="shared" si="2"/>
        <v>926.91262499999993</v>
      </c>
    </row>
    <row r="48" spans="1:8" x14ac:dyDescent="0.25">
      <c r="A48" s="60" t="s">
        <v>172</v>
      </c>
      <c r="B48" s="85" t="s">
        <v>56</v>
      </c>
      <c r="C48" s="3" t="s">
        <v>130</v>
      </c>
      <c r="D48" s="18">
        <v>1</v>
      </c>
      <c r="E48" s="57" t="s">
        <v>43</v>
      </c>
      <c r="F48" s="18">
        <v>650</v>
      </c>
      <c r="G48" s="15">
        <v>0.25</v>
      </c>
      <c r="H48" s="11">
        <f t="shared" si="2"/>
        <v>812.5</v>
      </c>
    </row>
    <row r="49" spans="1:8" x14ac:dyDescent="0.25">
      <c r="A49" s="60" t="s">
        <v>173</v>
      </c>
      <c r="B49" s="85" t="s">
        <v>127</v>
      </c>
      <c r="C49" s="56" t="s">
        <v>115</v>
      </c>
      <c r="D49" s="18">
        <v>29.7</v>
      </c>
      <c r="E49" s="57" t="s">
        <v>114</v>
      </c>
      <c r="F49" s="59">
        <v>34.35</v>
      </c>
      <c r="G49" s="17">
        <v>0.25</v>
      </c>
      <c r="H49" s="11">
        <f t="shared" si="2"/>
        <v>1275.2437500000001</v>
      </c>
    </row>
    <row r="50" spans="1:8" x14ac:dyDescent="0.25">
      <c r="A50" s="60" t="s">
        <v>174</v>
      </c>
      <c r="B50" s="147" t="s">
        <v>210</v>
      </c>
      <c r="C50" s="53" t="s">
        <v>211</v>
      </c>
      <c r="D50" s="18">
        <v>3.78</v>
      </c>
      <c r="E50" s="57" t="s">
        <v>114</v>
      </c>
      <c r="F50" s="59">
        <v>17.57</v>
      </c>
      <c r="G50" s="17">
        <v>0.25</v>
      </c>
      <c r="H50" s="11">
        <f t="shared" si="2"/>
        <v>83.018249999999995</v>
      </c>
    </row>
    <row r="51" spans="1:8" x14ac:dyDescent="0.25">
      <c r="A51" s="60" t="s">
        <v>175</v>
      </c>
      <c r="B51" s="85" t="s">
        <v>128</v>
      </c>
      <c r="C51" s="53" t="s">
        <v>117</v>
      </c>
      <c r="D51" s="18">
        <v>2</v>
      </c>
      <c r="E51" s="57" t="s">
        <v>43</v>
      </c>
      <c r="F51" s="59">
        <v>21.45</v>
      </c>
      <c r="G51" s="17">
        <v>0.25</v>
      </c>
      <c r="H51" s="11">
        <f t="shared" si="2"/>
        <v>53.625</v>
      </c>
    </row>
    <row r="52" spans="1:8" ht="45" x14ac:dyDescent="0.25">
      <c r="A52" s="60" t="s">
        <v>176</v>
      </c>
      <c r="B52" s="147" t="s">
        <v>205</v>
      </c>
      <c r="C52" s="53" t="s">
        <v>207</v>
      </c>
      <c r="D52" s="18">
        <v>1</v>
      </c>
      <c r="E52" s="57" t="s">
        <v>43</v>
      </c>
      <c r="F52" s="59">
        <v>68.53</v>
      </c>
      <c r="G52" s="17">
        <v>0.25</v>
      </c>
      <c r="H52" s="11">
        <f t="shared" si="2"/>
        <v>85.662499999999994</v>
      </c>
    </row>
    <row r="53" spans="1:8" x14ac:dyDescent="0.25">
      <c r="A53" s="60" t="s">
        <v>177</v>
      </c>
      <c r="B53" s="147" t="s">
        <v>208</v>
      </c>
      <c r="C53" s="53" t="s">
        <v>209</v>
      </c>
      <c r="D53" s="18">
        <v>1</v>
      </c>
      <c r="E53" s="57" t="s">
        <v>43</v>
      </c>
      <c r="F53" s="59">
        <v>20.11</v>
      </c>
      <c r="G53" s="17">
        <v>0.25</v>
      </c>
      <c r="H53" s="11">
        <f t="shared" si="2"/>
        <v>25.137499999999999</v>
      </c>
    </row>
    <row r="54" spans="1:8" x14ac:dyDescent="0.25">
      <c r="A54" s="60" t="s">
        <v>178</v>
      </c>
      <c r="B54" s="85" t="s">
        <v>129</v>
      </c>
      <c r="C54" s="53" t="s">
        <v>118</v>
      </c>
      <c r="D54" s="18">
        <v>32</v>
      </c>
      <c r="E54" s="57" t="s">
        <v>119</v>
      </c>
      <c r="F54" s="59">
        <v>4.8899999999999997</v>
      </c>
      <c r="G54" s="17">
        <v>0.25</v>
      </c>
      <c r="H54" s="11">
        <f t="shared" si="2"/>
        <v>195.6</v>
      </c>
    </row>
    <row r="55" spans="1:8" ht="30" x14ac:dyDescent="0.25">
      <c r="A55" s="60" t="s">
        <v>179</v>
      </c>
      <c r="B55" s="85" t="s">
        <v>124</v>
      </c>
      <c r="C55" s="53" t="s">
        <v>123</v>
      </c>
      <c r="D55" s="18">
        <v>50</v>
      </c>
      <c r="E55" s="57" t="s">
        <v>43</v>
      </c>
      <c r="F55" s="59">
        <v>166.58</v>
      </c>
      <c r="G55" s="17">
        <v>0.25</v>
      </c>
      <c r="H55" s="11">
        <f t="shared" si="2"/>
        <v>10411.25</v>
      </c>
    </row>
    <row r="56" spans="1:8" x14ac:dyDescent="0.25">
      <c r="A56" s="60" t="s">
        <v>206</v>
      </c>
      <c r="B56" s="85" t="s">
        <v>126</v>
      </c>
      <c r="C56" s="53" t="s">
        <v>125</v>
      </c>
      <c r="D56" s="18">
        <v>1.8</v>
      </c>
      <c r="E56" s="18" t="s">
        <v>13</v>
      </c>
      <c r="F56" s="18">
        <v>920.25</v>
      </c>
      <c r="G56" s="17">
        <v>0.25</v>
      </c>
      <c r="H56" s="11">
        <f t="shared" si="2"/>
        <v>2070.5625</v>
      </c>
    </row>
    <row r="57" spans="1:8" ht="15.75" thickBot="1" x14ac:dyDescent="0.3">
      <c r="A57" s="68"/>
      <c r="B57" s="84"/>
      <c r="C57" s="69"/>
      <c r="D57" s="70"/>
      <c r="E57" s="70"/>
      <c r="F57" s="71" t="s">
        <v>14</v>
      </c>
      <c r="G57" s="72"/>
      <c r="H57" s="4">
        <f>SUM(H46:H56)</f>
        <v>19564.012125000001</v>
      </c>
    </row>
    <row r="58" spans="1:8" ht="17.25" customHeight="1" x14ac:dyDescent="0.25">
      <c r="A58" s="73" t="s">
        <v>180</v>
      </c>
      <c r="B58" s="74"/>
      <c r="C58" s="124" t="s">
        <v>49</v>
      </c>
      <c r="D58" s="76"/>
      <c r="E58" s="74"/>
      <c r="F58" s="77"/>
      <c r="G58" s="78"/>
      <c r="H58" s="79"/>
    </row>
    <row r="59" spans="1:8" x14ac:dyDescent="0.25">
      <c r="A59" s="125" t="s">
        <v>181</v>
      </c>
      <c r="B59" s="85" t="s">
        <v>132</v>
      </c>
      <c r="C59" s="53" t="s">
        <v>131</v>
      </c>
      <c r="D59" s="55">
        <v>3790.4</v>
      </c>
      <c r="E59" s="104" t="s">
        <v>18</v>
      </c>
      <c r="F59" s="105">
        <v>6.96</v>
      </c>
      <c r="G59" s="54">
        <v>0.25</v>
      </c>
      <c r="H59" s="11">
        <f>(D59*F59)*1.25</f>
        <v>32976.480000000003</v>
      </c>
    </row>
    <row r="60" spans="1:8" x14ac:dyDescent="0.25">
      <c r="A60" s="125" t="s">
        <v>182</v>
      </c>
      <c r="B60" s="85" t="s">
        <v>133</v>
      </c>
      <c r="C60" s="56" t="s">
        <v>59</v>
      </c>
      <c r="D60" s="55">
        <f>(0.4*0.8)*(7100+4600+145)</f>
        <v>3790.4000000000005</v>
      </c>
      <c r="E60" s="57" t="s">
        <v>18</v>
      </c>
      <c r="F60" s="58">
        <v>6.9</v>
      </c>
      <c r="G60" s="54">
        <v>0.25</v>
      </c>
      <c r="H60" s="126">
        <f t="shared" ref="H60:H75" si="3">((F60*G60)+F60)*D60</f>
        <v>32692.200000000004</v>
      </c>
    </row>
    <row r="61" spans="1:8" x14ac:dyDescent="0.25">
      <c r="A61" s="125" t="s">
        <v>183</v>
      </c>
      <c r="B61" s="85" t="s">
        <v>134</v>
      </c>
      <c r="C61" s="56" t="s">
        <v>60</v>
      </c>
      <c r="D61" s="55">
        <f>(0.4*0.3)*(1000)</f>
        <v>120</v>
      </c>
      <c r="E61" s="57" t="s">
        <v>18</v>
      </c>
      <c r="F61" s="58">
        <v>89.25</v>
      </c>
      <c r="G61" s="54">
        <v>0.25</v>
      </c>
      <c r="H61" s="126">
        <f t="shared" si="3"/>
        <v>13387.5</v>
      </c>
    </row>
    <row r="62" spans="1:8" x14ac:dyDescent="0.25">
      <c r="A62" s="125" t="s">
        <v>184</v>
      </c>
      <c r="B62" s="85" t="s">
        <v>135</v>
      </c>
      <c r="C62" s="56" t="s">
        <v>61</v>
      </c>
      <c r="D62" s="80">
        <f>D61*14</f>
        <v>1680</v>
      </c>
      <c r="E62" s="57" t="s">
        <v>62</v>
      </c>
      <c r="F62" s="58">
        <v>1.22</v>
      </c>
      <c r="G62" s="54">
        <v>0.25</v>
      </c>
      <c r="H62" s="126">
        <f t="shared" si="3"/>
        <v>2562</v>
      </c>
    </row>
    <row r="63" spans="1:8" x14ac:dyDescent="0.25">
      <c r="A63" s="125" t="s">
        <v>185</v>
      </c>
      <c r="B63" s="85" t="s">
        <v>159</v>
      </c>
      <c r="C63" s="56" t="s">
        <v>63</v>
      </c>
      <c r="D63" s="55">
        <f>7100+4600+145</f>
        <v>11845</v>
      </c>
      <c r="E63" s="57" t="s">
        <v>21</v>
      </c>
      <c r="F63" s="58">
        <v>1.45</v>
      </c>
      <c r="G63" s="54">
        <v>0.25</v>
      </c>
      <c r="H63" s="126">
        <f t="shared" si="3"/>
        <v>21469.0625</v>
      </c>
    </row>
    <row r="64" spans="1:8" x14ac:dyDescent="0.25">
      <c r="A64" s="125" t="s">
        <v>186</v>
      </c>
      <c r="B64" s="85" t="s">
        <v>136</v>
      </c>
      <c r="C64" s="53" t="s">
        <v>64</v>
      </c>
      <c r="D64" s="80">
        <f>20*1</f>
        <v>20</v>
      </c>
      <c r="E64" s="57" t="s">
        <v>13</v>
      </c>
      <c r="F64" s="58">
        <v>18.54</v>
      </c>
      <c r="G64" s="54">
        <v>0.25</v>
      </c>
      <c r="H64" s="126">
        <f t="shared" si="3"/>
        <v>463.49999999999994</v>
      </c>
    </row>
    <row r="65" spans="1:8" x14ac:dyDescent="0.25">
      <c r="A65" s="125" t="s">
        <v>187</v>
      </c>
      <c r="B65" s="85" t="s">
        <v>137</v>
      </c>
      <c r="C65" s="53" t="s">
        <v>65</v>
      </c>
      <c r="D65" s="80">
        <v>40</v>
      </c>
      <c r="E65" s="57" t="s">
        <v>21</v>
      </c>
      <c r="F65" s="58">
        <v>2.5099999999999998</v>
      </c>
      <c r="G65" s="54">
        <v>0.25</v>
      </c>
      <c r="H65" s="126">
        <f t="shared" si="3"/>
        <v>125.49999999999999</v>
      </c>
    </row>
    <row r="66" spans="1:8" x14ac:dyDescent="0.25">
      <c r="A66" s="125" t="s">
        <v>188</v>
      </c>
      <c r="B66" s="85" t="s">
        <v>138</v>
      </c>
      <c r="C66" s="53" t="s">
        <v>68</v>
      </c>
      <c r="D66" s="80">
        <v>7</v>
      </c>
      <c r="E66" s="57" t="s">
        <v>18</v>
      </c>
      <c r="F66" s="58">
        <v>138.52000000000001</v>
      </c>
      <c r="G66" s="54">
        <v>0.25</v>
      </c>
      <c r="H66" s="126">
        <f t="shared" si="3"/>
        <v>1212.05</v>
      </c>
    </row>
    <row r="67" spans="1:8" ht="30" x14ac:dyDescent="0.25">
      <c r="A67" s="125" t="s">
        <v>189</v>
      </c>
      <c r="B67" s="85" t="s">
        <v>139</v>
      </c>
      <c r="C67" s="53" t="s">
        <v>69</v>
      </c>
      <c r="D67" s="80">
        <v>20</v>
      </c>
      <c r="E67" s="57" t="s">
        <v>18</v>
      </c>
      <c r="F67" s="58">
        <v>96</v>
      </c>
      <c r="G67" s="54">
        <v>0.25</v>
      </c>
      <c r="H67" s="126">
        <f t="shared" si="3"/>
        <v>2400</v>
      </c>
    </row>
    <row r="68" spans="1:8" x14ac:dyDescent="0.25">
      <c r="A68" s="125" t="s">
        <v>190</v>
      </c>
      <c r="B68" s="85" t="s">
        <v>140</v>
      </c>
      <c r="C68" s="56" t="s">
        <v>70</v>
      </c>
      <c r="D68" s="80">
        <f>D66*15</f>
        <v>105</v>
      </c>
      <c r="E68" s="57" t="s">
        <v>62</v>
      </c>
      <c r="F68" s="58">
        <v>1.71</v>
      </c>
      <c r="G68" s="54">
        <v>0.25</v>
      </c>
      <c r="H68" s="126">
        <f t="shared" si="3"/>
        <v>224.43750000000003</v>
      </c>
    </row>
    <row r="69" spans="1:8" x14ac:dyDescent="0.25">
      <c r="A69" s="125" t="s">
        <v>191</v>
      </c>
      <c r="B69" s="85" t="s">
        <v>141</v>
      </c>
      <c r="C69" s="56" t="s">
        <v>71</v>
      </c>
      <c r="D69" s="80">
        <f>D67*15</f>
        <v>300</v>
      </c>
      <c r="E69" s="57" t="s">
        <v>62</v>
      </c>
      <c r="F69" s="58">
        <v>1.55</v>
      </c>
      <c r="G69" s="54">
        <v>0.25</v>
      </c>
      <c r="H69" s="126">
        <f t="shared" si="3"/>
        <v>581.25</v>
      </c>
    </row>
    <row r="70" spans="1:8" x14ac:dyDescent="0.25">
      <c r="A70" s="125" t="s">
        <v>192</v>
      </c>
      <c r="B70" s="85" t="s">
        <v>142</v>
      </c>
      <c r="C70" s="53" t="s">
        <v>72</v>
      </c>
      <c r="D70" s="80">
        <f>D64</f>
        <v>20</v>
      </c>
      <c r="E70" s="57" t="s">
        <v>13</v>
      </c>
      <c r="F70" s="58">
        <v>8.85</v>
      </c>
      <c r="G70" s="54">
        <v>0.25</v>
      </c>
      <c r="H70" s="126">
        <f t="shared" si="3"/>
        <v>221.25</v>
      </c>
    </row>
    <row r="71" spans="1:8" x14ac:dyDescent="0.25">
      <c r="A71" s="125" t="s">
        <v>193</v>
      </c>
      <c r="B71" s="85" t="s">
        <v>143</v>
      </c>
      <c r="C71" s="56" t="s">
        <v>66</v>
      </c>
      <c r="D71" s="80">
        <v>1</v>
      </c>
      <c r="E71" s="57" t="s">
        <v>67</v>
      </c>
      <c r="F71" s="58">
        <v>627.5</v>
      </c>
      <c r="G71" s="54">
        <v>0.25</v>
      </c>
      <c r="H71" s="126">
        <f t="shared" si="3"/>
        <v>784.375</v>
      </c>
    </row>
    <row r="72" spans="1:8" ht="30" x14ac:dyDescent="0.25">
      <c r="A72" s="125" t="s">
        <v>194</v>
      </c>
      <c r="B72" s="147" t="s">
        <v>56</v>
      </c>
      <c r="C72" s="98" t="s">
        <v>161</v>
      </c>
      <c r="D72" s="80">
        <v>3</v>
      </c>
      <c r="E72" s="57" t="s">
        <v>43</v>
      </c>
      <c r="F72" s="58">
        <v>198.25</v>
      </c>
      <c r="G72" s="54">
        <v>0.25</v>
      </c>
      <c r="H72" s="126">
        <f t="shared" si="3"/>
        <v>743.4375</v>
      </c>
    </row>
    <row r="73" spans="1:8" ht="30" x14ac:dyDescent="0.25">
      <c r="A73" s="125" t="s">
        <v>195</v>
      </c>
      <c r="B73" s="147" t="s">
        <v>56</v>
      </c>
      <c r="C73" s="98" t="s">
        <v>162</v>
      </c>
      <c r="D73" s="80">
        <v>6</v>
      </c>
      <c r="E73" s="57" t="s">
        <v>43</v>
      </c>
      <c r="F73" s="58">
        <v>207.6</v>
      </c>
      <c r="G73" s="54">
        <v>0.25</v>
      </c>
      <c r="H73" s="126">
        <f t="shared" si="3"/>
        <v>1557</v>
      </c>
    </row>
    <row r="74" spans="1:8" x14ac:dyDescent="0.25">
      <c r="A74" s="125" t="s">
        <v>196</v>
      </c>
      <c r="B74" s="85" t="s">
        <v>163</v>
      </c>
      <c r="C74" s="19" t="s">
        <v>164</v>
      </c>
      <c r="D74" s="87">
        <v>4</v>
      </c>
      <c r="E74" s="57" t="s">
        <v>43</v>
      </c>
      <c r="F74" s="88">
        <v>435</v>
      </c>
      <c r="G74" s="54">
        <v>0.25</v>
      </c>
      <c r="H74" s="126">
        <f t="shared" si="3"/>
        <v>2175</v>
      </c>
    </row>
    <row r="75" spans="1:8" x14ac:dyDescent="0.25">
      <c r="A75" s="125" t="s">
        <v>197</v>
      </c>
      <c r="B75" s="85" t="s">
        <v>165</v>
      </c>
      <c r="C75" s="19" t="s">
        <v>166</v>
      </c>
      <c r="D75" s="87">
        <v>15</v>
      </c>
      <c r="E75" s="57" t="s">
        <v>21</v>
      </c>
      <c r="F75" s="88">
        <v>151.16</v>
      </c>
      <c r="G75" s="54">
        <v>0.25</v>
      </c>
      <c r="H75" s="126">
        <f t="shared" si="3"/>
        <v>2834.25</v>
      </c>
    </row>
    <row r="76" spans="1:8" x14ac:dyDescent="0.25">
      <c r="A76" s="125"/>
      <c r="B76" s="85"/>
      <c r="C76" s="19"/>
      <c r="D76" s="87"/>
      <c r="E76" s="57"/>
      <c r="F76" s="88"/>
      <c r="G76" s="54"/>
      <c r="H76" s="126"/>
    </row>
    <row r="77" spans="1:8" ht="15.75" thickBot="1" x14ac:dyDescent="0.3">
      <c r="A77" s="21"/>
      <c r="B77" s="83"/>
      <c r="C77" s="10"/>
      <c r="D77" s="81"/>
      <c r="E77" s="9"/>
      <c r="F77" s="52" t="s">
        <v>14</v>
      </c>
      <c r="G77" s="51"/>
      <c r="H77" s="6">
        <f>SUM(H59:H75)</f>
        <v>116409.29250000001</v>
      </c>
    </row>
    <row r="78" spans="1:8" x14ac:dyDescent="0.25">
      <c r="A78" s="127"/>
      <c r="B78" s="64"/>
      <c r="C78" s="128"/>
      <c r="D78" s="63"/>
      <c r="E78" s="64"/>
      <c r="F78" s="65"/>
      <c r="G78" s="66"/>
      <c r="H78" s="67"/>
    </row>
    <row r="79" spans="1:8" ht="15.75" thickBot="1" x14ac:dyDescent="0.3">
      <c r="A79" s="129"/>
      <c r="B79" s="130"/>
      <c r="C79" s="131" t="s">
        <v>23</v>
      </c>
      <c r="D79" s="132"/>
      <c r="E79" s="130"/>
      <c r="F79" s="133"/>
      <c r="G79" s="134"/>
      <c r="H79" s="135">
        <f>SUM(H8,H13,H44,H57,H77)</f>
        <v>200000.00462500003</v>
      </c>
    </row>
    <row r="81" spans="10:10" x14ac:dyDescent="0.25">
      <c r="J81" s="82"/>
    </row>
  </sheetData>
  <mergeCells count="3">
    <mergeCell ref="A1:H1"/>
    <mergeCell ref="A2:H2"/>
    <mergeCell ref="A4:H4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>
      <selection sqref="A1:P17"/>
    </sheetView>
  </sheetViews>
  <sheetFormatPr defaultRowHeight="15" x14ac:dyDescent="0.25"/>
  <cols>
    <col min="2" max="2" width="41.7109375" customWidth="1"/>
    <col min="3" max="3" width="13.85546875" customWidth="1"/>
    <col min="4" max="4" width="10.140625" bestFit="1" customWidth="1"/>
    <col min="5" max="5" width="11" style="141" bestFit="1" customWidth="1"/>
    <col min="7" max="7" width="11" style="141" bestFit="1" customWidth="1"/>
    <col min="9" max="9" width="10.5703125" style="141" bestFit="1" customWidth="1"/>
    <col min="11" max="11" width="10.5703125" style="141" bestFit="1" customWidth="1"/>
    <col min="13" max="13" width="11" style="141" bestFit="1" customWidth="1"/>
    <col min="15" max="15" width="10.5703125" style="141" bestFit="1" customWidth="1"/>
    <col min="16" max="16" width="17.42578125" customWidth="1"/>
  </cols>
  <sheetData>
    <row r="1" spans="1:16" ht="15.75" thickBot="1" x14ac:dyDescent="0.3">
      <c r="A1" s="157" t="s">
        <v>26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159"/>
      <c r="M1" s="159"/>
      <c r="N1" s="159"/>
      <c r="O1" s="159"/>
      <c r="P1" s="160"/>
    </row>
    <row r="2" spans="1:16" x14ac:dyDescent="0.25">
      <c r="A2" s="41" t="s">
        <v>38</v>
      </c>
      <c r="B2" s="161" t="str">
        <f>PLANILHA!A2</f>
        <v>Obra: SISTEMA DE ADUÇÃO TRATAMENTO E DISTRIBUIÇÃO DE ÁGUA PARA  A COMUNIDADE RURAL DE RIO CEDRO ALTO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16" x14ac:dyDescent="0.25">
      <c r="A3" s="43" t="s">
        <v>1</v>
      </c>
      <c r="B3" s="37" t="str">
        <f>PLANILHA!C3</f>
        <v>RIO CEDRO ALTO</v>
      </c>
      <c r="C3" s="37"/>
      <c r="D3" s="40"/>
      <c r="E3" s="40"/>
      <c r="F3" s="40"/>
      <c r="G3" s="40"/>
      <c r="H3" s="19"/>
      <c r="I3" s="40"/>
      <c r="J3" s="19"/>
      <c r="K3" s="142"/>
      <c r="L3" s="136"/>
      <c r="M3" s="142"/>
      <c r="N3" s="136"/>
      <c r="O3" s="142"/>
      <c r="P3" s="44"/>
    </row>
    <row r="4" spans="1:16" x14ac:dyDescent="0.25">
      <c r="A4" s="43"/>
      <c r="B4" s="19"/>
      <c r="C4" s="19"/>
      <c r="D4" s="40"/>
      <c r="E4" s="40"/>
      <c r="F4" s="40"/>
      <c r="G4" s="40"/>
      <c r="H4" s="19"/>
      <c r="I4" s="40"/>
      <c r="J4" s="19"/>
      <c r="K4" s="142"/>
      <c r="L4" s="136"/>
      <c r="M4" s="142"/>
      <c r="N4" s="136"/>
      <c r="O4" s="142"/>
      <c r="P4" s="44"/>
    </row>
    <row r="5" spans="1:16" ht="15.75" thickBot="1" x14ac:dyDescent="0.3">
      <c r="A5" s="45"/>
      <c r="B5" s="20"/>
      <c r="C5" s="20"/>
      <c r="D5" s="46"/>
      <c r="E5" s="46"/>
      <c r="F5" s="46"/>
      <c r="G5" s="46"/>
      <c r="H5" s="20"/>
      <c r="I5" s="46"/>
      <c r="J5" s="20"/>
      <c r="K5" s="143"/>
      <c r="L5" s="137"/>
      <c r="M5" s="143"/>
      <c r="N5" s="137"/>
      <c r="O5" s="143"/>
      <c r="P5" s="47"/>
    </row>
    <row r="6" spans="1:16" ht="15.75" thickBot="1" x14ac:dyDescent="0.3">
      <c r="A6" s="48" t="s">
        <v>27</v>
      </c>
      <c r="B6" s="49" t="s">
        <v>28</v>
      </c>
      <c r="C6" s="86" t="s">
        <v>200</v>
      </c>
      <c r="D6" s="49" t="s">
        <v>29</v>
      </c>
      <c r="E6" s="140" t="s">
        <v>200</v>
      </c>
      <c r="F6" s="49" t="s">
        <v>30</v>
      </c>
      <c r="G6" s="140" t="s">
        <v>200</v>
      </c>
      <c r="H6" s="49" t="s">
        <v>31</v>
      </c>
      <c r="I6" s="140" t="s">
        <v>200</v>
      </c>
      <c r="J6" s="86" t="s">
        <v>167</v>
      </c>
      <c r="K6" s="140" t="s">
        <v>200</v>
      </c>
      <c r="L6" s="86" t="s">
        <v>198</v>
      </c>
      <c r="M6" s="140" t="s">
        <v>200</v>
      </c>
      <c r="N6" s="86" t="s">
        <v>199</v>
      </c>
      <c r="O6" s="145" t="s">
        <v>200</v>
      </c>
      <c r="P6" s="50" t="s">
        <v>32</v>
      </c>
    </row>
    <row r="7" spans="1:16" x14ac:dyDescent="0.25">
      <c r="A7" s="24" t="s">
        <v>33</v>
      </c>
      <c r="B7" s="36" t="str">
        <f>PLANILHA!C6</f>
        <v>SERVIÇOS INICIAIS</v>
      </c>
      <c r="C7" s="36">
        <f>PLANILHA!H8</f>
        <v>593.21250000000009</v>
      </c>
      <c r="D7" s="38">
        <v>1</v>
      </c>
      <c r="E7" s="42">
        <f>C7*D7</f>
        <v>593.21250000000009</v>
      </c>
      <c r="F7" s="25"/>
      <c r="G7" s="42"/>
      <c r="H7" s="26"/>
      <c r="I7" s="42"/>
      <c r="J7" s="26"/>
      <c r="K7" s="144"/>
      <c r="L7" s="138"/>
      <c r="M7" s="144"/>
      <c r="N7" s="138"/>
      <c r="O7" s="144"/>
      <c r="P7" s="27">
        <f>SUM(D7)</f>
        <v>1</v>
      </c>
    </row>
    <row r="8" spans="1:16" x14ac:dyDescent="0.25">
      <c r="A8" s="28" t="s">
        <v>34</v>
      </c>
      <c r="B8" s="37" t="str">
        <f>PLANILHA!C9</f>
        <v>ADUTORA</v>
      </c>
      <c r="C8" s="37">
        <f>PLANILHA!H13</f>
        <v>4213.8374999999996</v>
      </c>
      <c r="D8" s="39">
        <v>0.5</v>
      </c>
      <c r="E8" s="40">
        <f>C8*D8</f>
        <v>2106.9187499999998</v>
      </c>
      <c r="F8" s="39">
        <v>0.5</v>
      </c>
      <c r="G8" s="40">
        <f>C8*F8</f>
        <v>2106.9187499999998</v>
      </c>
      <c r="H8" s="30"/>
      <c r="I8" s="40"/>
      <c r="J8" s="30"/>
      <c r="K8" s="142"/>
      <c r="L8" s="139"/>
      <c r="M8" s="142"/>
      <c r="N8" s="139"/>
      <c r="O8" s="142"/>
      <c r="P8" s="31">
        <f>SUM(D8,F8)</f>
        <v>1</v>
      </c>
    </row>
    <row r="9" spans="1:16" x14ac:dyDescent="0.25">
      <c r="A9" s="28" t="s">
        <v>35</v>
      </c>
      <c r="B9" s="37" t="str">
        <f>PLANILHA!C14</f>
        <v xml:space="preserve">SISTEMA DE TRATAMENTO </v>
      </c>
      <c r="C9" s="37">
        <f>PLANILHA!H44</f>
        <v>59219.650000000009</v>
      </c>
      <c r="D9" s="39">
        <v>0.25</v>
      </c>
      <c r="E9" s="40">
        <f t="shared" ref="E9:E11" si="0">C9*D9</f>
        <v>14804.912500000002</v>
      </c>
      <c r="F9" s="39">
        <v>0.25</v>
      </c>
      <c r="G9" s="40">
        <f t="shared" ref="G9:G11" si="1">C9*F9</f>
        <v>14804.912500000002</v>
      </c>
      <c r="H9" s="30">
        <v>0.25</v>
      </c>
      <c r="I9" s="40">
        <f>C9*H9</f>
        <v>14804.912500000002</v>
      </c>
      <c r="J9" s="30">
        <v>0.25</v>
      </c>
      <c r="K9" s="142">
        <f>C9*J9</f>
        <v>14804.912500000002</v>
      </c>
      <c r="L9" s="139"/>
      <c r="M9" s="142"/>
      <c r="N9" s="139"/>
      <c r="O9" s="142"/>
      <c r="P9" s="31">
        <f>SUM(D9,F9,H9,J9)</f>
        <v>1</v>
      </c>
    </row>
    <row r="10" spans="1:16" x14ac:dyDescent="0.25">
      <c r="A10" s="28" t="s">
        <v>36</v>
      </c>
      <c r="B10" s="37" t="str">
        <f>PLANILHA!C45</f>
        <v>SISTEMA DE TRATAMENTO (ABRIGO E CERCA)</v>
      </c>
      <c r="C10" s="37">
        <f>PLANILHA!H57</f>
        <v>19564.012125000001</v>
      </c>
      <c r="D10" s="30">
        <v>0</v>
      </c>
      <c r="E10" s="40">
        <f t="shared" si="0"/>
        <v>0</v>
      </c>
      <c r="F10" s="30">
        <v>0</v>
      </c>
      <c r="G10" s="40">
        <f t="shared" si="1"/>
        <v>0</v>
      </c>
      <c r="H10" s="30">
        <v>0</v>
      </c>
      <c r="I10" s="40">
        <f t="shared" ref="I10:I11" si="2">C10*H10</f>
        <v>0</v>
      </c>
      <c r="J10" s="30">
        <v>0.25</v>
      </c>
      <c r="K10" s="142">
        <f t="shared" ref="K10:K11" si="3">C10*J10</f>
        <v>4891.0030312500003</v>
      </c>
      <c r="L10" s="139">
        <v>0.25</v>
      </c>
      <c r="M10" s="142">
        <f>C10*L10</f>
        <v>4891.0030312500003</v>
      </c>
      <c r="N10" s="139">
        <v>0.5</v>
      </c>
      <c r="O10" s="142">
        <f>C10*N10</f>
        <v>9782.0060625000006</v>
      </c>
      <c r="P10" s="31">
        <f>SUM(J10,L10,N10)</f>
        <v>1</v>
      </c>
    </row>
    <row r="11" spans="1:16" x14ac:dyDescent="0.25">
      <c r="A11" s="28" t="s">
        <v>37</v>
      </c>
      <c r="B11" s="37" t="str">
        <f>PLANILHA!C58</f>
        <v>REDE DE ABASTECIMENTO</v>
      </c>
      <c r="C11" s="37">
        <f>PLANILHA!H77</f>
        <v>116409.29250000001</v>
      </c>
      <c r="D11" s="30">
        <v>0.1</v>
      </c>
      <c r="E11" s="40">
        <f t="shared" si="0"/>
        <v>11640.929250000001</v>
      </c>
      <c r="F11" s="30">
        <v>0.2</v>
      </c>
      <c r="G11" s="40">
        <f t="shared" si="1"/>
        <v>23281.858500000002</v>
      </c>
      <c r="H11" s="30">
        <v>0.2</v>
      </c>
      <c r="I11" s="40">
        <f t="shared" si="2"/>
        <v>23281.858500000002</v>
      </c>
      <c r="J11" s="30">
        <v>0.2</v>
      </c>
      <c r="K11" s="142">
        <f t="shared" si="3"/>
        <v>23281.858500000002</v>
      </c>
      <c r="L11" s="30">
        <v>0.2</v>
      </c>
      <c r="M11" s="142">
        <f>C11*L11</f>
        <v>23281.858500000002</v>
      </c>
      <c r="N11" s="30">
        <v>0.1</v>
      </c>
      <c r="O11" s="142">
        <f>C11*N11</f>
        <v>11640.929250000001</v>
      </c>
      <c r="P11" s="31">
        <f>SUM(D11,F11,H11,J11,L11,N11)</f>
        <v>0.99999999999999989</v>
      </c>
    </row>
    <row r="12" spans="1:16" x14ac:dyDescent="0.25">
      <c r="A12" s="28"/>
      <c r="B12" s="37"/>
      <c r="C12" s="37"/>
      <c r="D12" s="30"/>
      <c r="E12" s="40"/>
      <c r="F12" s="30"/>
      <c r="G12" s="40"/>
      <c r="H12" s="30"/>
      <c r="I12" s="40"/>
      <c r="J12" s="19"/>
      <c r="K12" s="142"/>
      <c r="L12" s="136"/>
      <c r="M12" s="142"/>
      <c r="N12" s="136"/>
      <c r="O12" s="142"/>
      <c r="P12" s="31"/>
    </row>
    <row r="13" spans="1:16" x14ac:dyDescent="0.25">
      <c r="A13" s="28"/>
      <c r="B13" s="37"/>
      <c r="C13" s="37"/>
      <c r="D13" s="30"/>
      <c r="E13" s="40"/>
      <c r="F13" s="29"/>
      <c r="G13" s="40"/>
      <c r="H13" s="30"/>
      <c r="I13" s="40"/>
      <c r="J13" s="19"/>
      <c r="K13" s="142"/>
      <c r="L13" s="136"/>
      <c r="M13" s="142"/>
      <c r="N13" s="136"/>
      <c r="O13" s="142"/>
      <c r="P13" s="31"/>
    </row>
    <row r="14" spans="1:16" x14ac:dyDescent="0.25">
      <c r="A14" s="28"/>
      <c r="B14" s="37"/>
      <c r="C14" s="37"/>
      <c r="D14" s="30"/>
      <c r="E14" s="40"/>
      <c r="F14" s="30"/>
      <c r="G14" s="40"/>
      <c r="H14" s="30"/>
      <c r="I14" s="40"/>
      <c r="J14" s="19"/>
      <c r="K14" s="142"/>
      <c r="L14" s="136"/>
      <c r="M14" s="142"/>
      <c r="N14" s="136"/>
      <c r="O14" s="142"/>
      <c r="P14" s="31"/>
    </row>
    <row r="15" spans="1:16" x14ac:dyDescent="0.25">
      <c r="A15" s="28"/>
      <c r="B15" s="37"/>
      <c r="C15" s="37"/>
      <c r="D15" s="30"/>
      <c r="E15" s="40"/>
      <c r="F15" s="30"/>
      <c r="G15" s="40"/>
      <c r="H15" s="30"/>
      <c r="I15" s="40"/>
      <c r="J15" s="19"/>
      <c r="K15" s="142"/>
      <c r="L15" s="136"/>
      <c r="M15" s="142"/>
      <c r="N15" s="136"/>
      <c r="O15" s="142"/>
      <c r="P15" s="31"/>
    </row>
    <row r="16" spans="1:16" x14ac:dyDescent="0.25">
      <c r="A16" s="28"/>
      <c r="B16" s="37" t="s">
        <v>201</v>
      </c>
      <c r="C16" s="37"/>
      <c r="D16" s="30"/>
      <c r="E16" s="40">
        <f>SUM(E7:E15)</f>
        <v>29145.973000000002</v>
      </c>
      <c r="F16" s="30"/>
      <c r="G16" s="40">
        <f>SUM(G8:G15)</f>
        <v>40193.689750000005</v>
      </c>
      <c r="H16" s="30"/>
      <c r="I16" s="40">
        <f>SUM(I9:I15)</f>
        <v>38086.771000000008</v>
      </c>
      <c r="J16" s="19"/>
      <c r="K16" s="142">
        <f>SUM(K9:K15)</f>
        <v>42977.774031250003</v>
      </c>
      <c r="L16" s="136"/>
      <c r="M16" s="142">
        <f>SUM(M10:M15)</f>
        <v>28172.861531250004</v>
      </c>
      <c r="N16" s="136"/>
      <c r="O16" s="142">
        <f>SUM(O10:O15)</f>
        <v>21422.935312500002</v>
      </c>
      <c r="P16" s="146">
        <f>SUM(E16:O16)</f>
        <v>200000.004625</v>
      </c>
    </row>
    <row r="17" spans="1:16" ht="15.75" thickBot="1" x14ac:dyDescent="0.3">
      <c r="A17" s="32"/>
      <c r="B17" s="20"/>
      <c r="C17" s="20"/>
      <c r="D17" s="33"/>
      <c r="E17" s="46"/>
      <c r="F17" s="34"/>
      <c r="G17" s="46"/>
      <c r="H17" s="20"/>
      <c r="I17" s="46"/>
      <c r="J17" s="20"/>
      <c r="K17" s="143"/>
      <c r="L17" s="137"/>
      <c r="M17" s="143"/>
      <c r="N17" s="137"/>
      <c r="O17" s="143"/>
      <c r="P17" s="35"/>
    </row>
  </sheetData>
  <mergeCells count="2">
    <mergeCell ref="A1:P1"/>
    <mergeCell ref="B2:P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CRONOGRAMA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PLANEJAMENTO3</dc:creator>
  <cp:lastModifiedBy>Usuario</cp:lastModifiedBy>
  <cp:lastPrinted>2023-01-04T13:15:18Z</cp:lastPrinted>
  <dcterms:created xsi:type="dcterms:W3CDTF">2017-11-06T15:50:10Z</dcterms:created>
  <dcterms:modified xsi:type="dcterms:W3CDTF">2023-01-04T13:15:19Z</dcterms:modified>
</cp:coreProperties>
</file>